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95" windowWidth="11340" windowHeight="2715" tabRatio="797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 (объемы строит)" sheetId="7" state="hidden" r:id="rId7"/>
    <sheet name="Приложение 8" sheetId="8" r:id="rId8"/>
    <sheet name="Приложение 9" sheetId="9" r:id="rId9"/>
  </sheets>
  <externalReferences>
    <externalReference r:id="rId12"/>
    <externalReference r:id="rId13"/>
  </externalReferences>
  <definedNames>
    <definedName name="_xlfn.IFERROR" hidden="1">#NAME?</definedName>
    <definedName name="_xlnm.Print_Titles" localSheetId="2">'Приложение 4 '!$8:$8</definedName>
    <definedName name="_xlnm.Print_Area" localSheetId="0">'Приложение 2'!$A$1:$I$29</definedName>
    <definedName name="_xlnm.Print_Area" localSheetId="1">'Приложение 3'!$A$1:$K$91</definedName>
    <definedName name="_xlnm.Print_Area" localSheetId="2">'Приложение 4 '!$A$1:$F$186</definedName>
    <definedName name="_xlnm.Print_Area" localSheetId="3">'Приложение 5 '!$A$1:$D$37</definedName>
    <definedName name="_xlnm.Print_Area" localSheetId="5">'Приложение 7'!$A$1:$I$19</definedName>
    <definedName name="_xlnm.Print_Area" localSheetId="7">'Приложение 8'!$A$1:$K$28</definedName>
    <definedName name="_xlnm.Print_Area" localSheetId="8">'Приложение 9'!$A$1:$H$28</definedName>
  </definedNames>
  <calcPr fullCalcOnLoad="1"/>
</workbook>
</file>

<file path=xl/sharedStrings.xml><?xml version="1.0" encoding="utf-8"?>
<sst xmlns="http://schemas.openxmlformats.org/spreadsheetml/2006/main" count="1394" uniqueCount="341">
  <si>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</si>
  <si>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</si>
  <si>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</si>
  <si>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</si>
  <si>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</si>
  <si>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</si>
  <si>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</si>
  <si>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</si>
  <si>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</si>
  <si>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</si>
  <si>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</si>
  <si>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</si>
  <si>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</si>
  <si>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</si>
  <si>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</si>
  <si>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</si>
  <si>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</si>
  <si>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</si>
  <si>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</si>
  <si>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</si>
  <si>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</si>
  <si>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</si>
  <si>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</si>
  <si>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</si>
  <si>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</si>
  <si>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</si>
  <si>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</si>
  <si>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</si>
  <si>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</si>
  <si>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</si>
  <si>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</si>
  <si>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</si>
  <si>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</si>
  <si>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</si>
  <si>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</si>
  <si>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</si>
  <si>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</si>
  <si>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</si>
  <si>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</si>
  <si>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</si>
  <si>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</si>
  <si>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</si>
  <si>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</si>
  <si>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</si>
  <si>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</si>
  <si>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</si>
  <si>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</si>
  <si>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</si>
  <si>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</si>
  <si>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</si>
  <si>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</si>
  <si>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</si>
  <si>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</si>
  <si>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</si>
  <si>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</si>
  <si>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</si>
  <si>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</si>
  <si>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</si>
  <si>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</si>
  <si>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</si>
  <si>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</si>
  <si>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</si>
  <si>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</si>
  <si>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</si>
  <si>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</si>
  <si>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</si>
  <si>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</si>
  <si>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</si>
  <si>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</si>
  <si>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</si>
  <si>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</si>
  <si>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</si>
  <si>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</si>
  <si>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</si>
  <si>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</si>
  <si>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</si>
  <si>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</si>
  <si>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</si>
  <si>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</si>
  <si>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</si>
  <si>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</si>
  <si>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</si>
  <si>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</si>
  <si>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</si>
  <si>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</si>
  <si>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</si>
  <si>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</si>
  <si>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</si>
  <si>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</si>
  <si>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</si>
  <si>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</si>
  <si>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</si>
  <si>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</si>
  <si>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</si>
  <si>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</si>
  <si>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</si>
  <si>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</si>
  <si>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</si>
  <si>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</si>
  <si>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</si>
  <si>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</si>
  <si>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</si>
  <si>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</si>
  <si>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</si>
  <si>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</si>
  <si>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</si>
  <si>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</si>
  <si>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</si>
  <si>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</si>
  <si>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</si>
  <si>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</si>
  <si>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</si>
  <si>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</si>
  <si>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</si>
  <si>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</si>
  <si>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</si>
  <si>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</si>
  <si>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</si>
  <si>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</si>
  <si>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</si>
  <si>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</si>
  <si>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</si>
  <si>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</si>
  <si>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</si>
  <si>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</si>
  <si>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</si>
  <si>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</si>
  <si>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</si>
  <si>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</si>
  <si>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</si>
  <si>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</si>
  <si>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</si>
  <si>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</si>
  <si>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</si>
  <si>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</si>
  <si>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</si>
  <si>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</si>
  <si>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</si>
  <si>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</si>
  <si>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</si>
  <si>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</si>
  <si>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</si>
  <si>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</si>
  <si>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</si>
  <si>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</si>
  <si>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</si>
  <si>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</si>
  <si>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</si>
  <si>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</si>
  <si>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</si>
  <si>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</si>
  <si>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</si>
  <si>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</si>
  <si>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</si>
  <si>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</si>
  <si>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</si>
  <si>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</si>
  <si>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</si>
  <si>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</si>
  <si>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</si>
  <si>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</si>
  <si>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</si>
  <si>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</si>
  <si>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</si>
  <si>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</si>
  <si>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</si>
  <si>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</si>
  <si>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</si>
  <si>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</si>
  <si>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</si>
  <si>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</si>
  <si>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</si>
  <si>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</si>
  <si>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</si>
  <si>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</si>
  <si>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</si>
  <si>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</si>
  <si>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</si>
  <si>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</si>
  <si>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</si>
  <si>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</si>
  <si>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</si>
  <si>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 xml:space="preserve">строительство воздушных линий 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</si>
  <si>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</si>
  <si>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</si>
  <si>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</si>
  <si>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</si>
  <si>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</si>
  <si>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</si>
  <si>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</si>
  <si>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</si>
  <si>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r>
      <t>С</t>
    </r>
    <r>
      <rPr>
        <b/>
        <sz val="8"/>
        <rFont val="Times New Roman"/>
        <family val="1"/>
      </rPr>
      <t>2,i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</si>
  <si>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3,i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</si>
  <si>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4,i</t>
    </r>
    <r>
      <rPr>
        <b/>
        <sz val="12"/>
        <rFont val="Times New Roman"/>
        <family val="1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</si>
  <si>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</si>
  <si>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до 15 кВт включительно (не льготная категория заявителей)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</si>
  <si>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</si>
  <si>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по временной схеме **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</si>
  <si>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</si>
  <si>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</si>
  <si>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</si>
  <si>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</si>
  <si>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</si>
  <si>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</si>
  <si>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С 01 октября 2015г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плате за технологическое присоединение указанных Заявителей стоимость мероприятий "последней мили" учитывается в размере не более 50%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</si>
  <si>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</si>
  <si>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</si>
  <si>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</si>
  <si>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</si>
  <si>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Приложение 13.2 к приказу / Приложение № 2</t>
  </si>
  <si>
    <t>Приложение 13.3 к приказу / Приложение № 3</t>
  </si>
  <si>
    <t>на 2017 год</t>
  </si>
  <si>
    <t>Приложения 13.5 к приказу / Приложение № 5</t>
  </si>
  <si>
    <t>Приложения 13.6 к приказу / Приложение № 6</t>
  </si>
  <si>
    <t>Приложения 13.7 к приказу / Приложение № 7</t>
  </si>
  <si>
    <t>Приложения 13.8 к приказу / Приложение № 8</t>
  </si>
  <si>
    <t>Данные представлены оперативно на 01.10.2016г.</t>
  </si>
  <si>
    <t>Приложения 13.9 к приказу / Приложение № 9</t>
  </si>
  <si>
    <t>филиала ПАО "МРСК Юга" - "Астраханьэнерго" на 2017 год</t>
  </si>
  <si>
    <t>Филиал Публичного акционерного общества "Межрегиональная распределительная сетевая компания юга" - "Астраханьэнерго"</t>
  </si>
  <si>
    <t>Филиал ПАО "МРСК Юга" - "Астраханьэнерго"</t>
  </si>
  <si>
    <t>г. Астрахань, ул. Красная Набережная, д. 32</t>
  </si>
  <si>
    <t>kanc@ae.mrsk-yuga.ru</t>
  </si>
  <si>
    <t>(8512) 79-32-19 
Михайлова Наталья Владимировна - начальник отдела тарифообразования</t>
  </si>
  <si>
    <t>Натхо Инвер Юсуфович - заместитель генерального директора - директор филиала ПАО "МРСК Юга" - "Астраханьэнерго"</t>
  </si>
  <si>
    <t>(8512) 44-55-78</t>
  </si>
  <si>
    <t>РАСЧЕТ
необходимой валовой выручки на технологическое присоединение
 филиала ПАО "МРСК Юга" - "Астраханьэнерго"</t>
  </si>
  <si>
    <t>среднеарифметич.</t>
  </si>
  <si>
    <t>Приложение № 8</t>
  </si>
  <si>
    <t>Фактические данные по объемам строительства за 2014-2016 гг. филиала ПАО "МРСК Юга" - "Астраханьэнерго"</t>
  </si>
  <si>
    <t>(В соответствии с приложением 1 к Методическим указаниям по определению размера платы за технологическое присоединение к электрическим сетям, утвержденным Приказом ФСТ России от 11.09.12 №209-э/1)</t>
  </si>
  <si>
    <t>№ пп</t>
  </si>
  <si>
    <t xml:space="preserve">Состав расходов по мероприятиям </t>
  </si>
  <si>
    <t>Физические объемы, км., шт. и т.д., в случаях:</t>
  </si>
  <si>
    <t>Физические объемы (присоединенная мощность), кВт, в случаях:</t>
  </si>
  <si>
    <t xml:space="preserve">Присоединение объектов    заявителя к ячейке   (ТП, РТП, РП, ПС)  </t>
  </si>
  <si>
    <t>Присоединение объектов    заявителя к линии    электропередачи (ЛЭП)</t>
  </si>
  <si>
    <t xml:space="preserve">(трансформация напряжения не требуется) </t>
  </si>
  <si>
    <t xml:space="preserve">(трансформация напряжения требуется)  </t>
  </si>
  <si>
    <t xml:space="preserve">(трансформация напряжения не требуется)  </t>
  </si>
  <si>
    <t xml:space="preserve">(трансформация напряжения требуется) </t>
  </si>
  <si>
    <t>Период</t>
  </si>
  <si>
    <t>2016*</t>
  </si>
  <si>
    <t>среднеарифметическая величина</t>
  </si>
  <si>
    <t xml:space="preserve">Всего расходы на:       </t>
  </si>
  <si>
    <t xml:space="preserve">Строительство воздушных линий   </t>
  </si>
  <si>
    <t>без льгот</t>
  </si>
  <si>
    <t>1.1</t>
  </si>
  <si>
    <t>1.2</t>
  </si>
  <si>
    <t xml:space="preserve">Строительство кабельных линий   </t>
  </si>
  <si>
    <t>2.1</t>
  </si>
  <si>
    <t>2.2</t>
  </si>
  <si>
    <t>Строительство пунктов     секционирования &lt;1&gt;</t>
  </si>
  <si>
    <t xml:space="preserve">Строительство комплектных   трансформаторных  подстанций (КТП), распределительных трансформаторных  подстанций (РТП) с классом напряжения до 35 кВ &lt;2&gt;      </t>
  </si>
  <si>
    <t xml:space="preserve">Строительство центров питания, подстанций классом напряжения 35 кВ и выше (ПС) &lt;3&gt;   </t>
  </si>
  <si>
    <t xml:space="preserve">Расходы по заявителям мощностью до 15 кВт включительно (льготная категория заявителей) на:       </t>
  </si>
  <si>
    <t>материал провода - алюминиевые жилы (НН)</t>
  </si>
  <si>
    <t>материал провода - алюминиевые жилы (СН-2)</t>
  </si>
  <si>
    <t>материал кабеля - алюминиевые жилы (НН)</t>
  </si>
  <si>
    <t>2.3.</t>
  </si>
  <si>
    <t>материал кабеля - алюминиевые жилы (СН-2)</t>
  </si>
  <si>
    <t>Строительство пунктов секционирования &lt;1&gt;</t>
  </si>
  <si>
    <t xml:space="preserve">Расходы по заявителям мощностью до 15 кВт включительно (не льготная категория заявителей) (0,4 кВ) на:       </t>
  </si>
  <si>
    <t xml:space="preserve">Расходы по заявителям мощностью до 15 кВт включительно (не льготная категория заявителей) (6-20 кВ) на:       </t>
  </si>
  <si>
    <t xml:space="preserve">Расходы по заявителям мощностью от 15 кВт до 150 кВт включительно (0,4 кВ) на:       </t>
  </si>
  <si>
    <t xml:space="preserve">Строительство центров питания,  подстанций классом напряжения 35 кВ и выше (ПС) &lt;3&gt;   </t>
  </si>
  <si>
    <t xml:space="preserve">Расходы по заявителям мощностью от 15 кВт до 150 кВт включительно (6-20 кВ) на:       </t>
  </si>
  <si>
    <t xml:space="preserve">Расходы по заявителям мощностью от 150 кВт до 670кВт включительно (0,4 кВ) на:       </t>
  </si>
  <si>
    <t xml:space="preserve">Расходы по заявителям мощностью от 150 кВт до 670кВт включительно (6-20 кВ) на:       </t>
  </si>
  <si>
    <t xml:space="preserve">Строительство  комплектных   трансформаторных  подстанций (КТП), распределительных трансформаторных  подстанций (РТП) с классом напряжения до 35 кВ &lt;2&gt;      </t>
  </si>
  <si>
    <t xml:space="preserve">Строительство  центров питания,  подстанций классом напряжения 35 кВ и выше (ПС) &lt;3&gt;   </t>
  </si>
  <si>
    <t xml:space="preserve">Расходы по заявителям мощностью от 150 кВт до 670кВт включительно (35 кВ) на:       </t>
  </si>
  <si>
    <t xml:space="preserve">Расходы по заявителям мощностью от 150 кВт до 670кВт включительно (110 кВ) на:       </t>
  </si>
  <si>
    <t xml:space="preserve">Расходы по заявителям мощностью от 670кВт до 8900кВт (6-20 кВ) включительно на:       </t>
  </si>
  <si>
    <t>Строительство  пунктов     секционирования &lt;1&gt;</t>
  </si>
  <si>
    <t xml:space="preserve">Расходы по заявителям мощностью от 670кВт до 8900кВт (35 кВ) включительно на:       </t>
  </si>
  <si>
    <t xml:space="preserve">Расходы по заявителям мощностью от 670кВт до 8900кВт (110 кВ) включительно на:       </t>
  </si>
  <si>
    <t>Примечание:</t>
  </si>
  <si>
    <t>&lt;1&gt; Строительство пунктов секционирования (реклоузеров, РП-распределительных пунктов, ПП-переключательных пунктов):выполняется для деления электрической сети и обеспечения селективности работы защит, обеспечения категории надежности электроснабжения, а также обеспечения нескольких точек присоединения заявителю.</t>
  </si>
  <si>
    <t>&lt;2&gt; Строительство комплектных трансформаторных подстанций (КТП), распределительных трансформаторных подстанций (РТП) с классом напряжения до 35 кВ: требуется в случае обеспечения заявителя уровнем напряжения, равным указанному в заявке, а также при необходимости обеспечения нескольких точек присоединения.</t>
  </si>
  <si>
    <t>&lt;3&gt; Строительство центров питания, подстанций классом напряжения 35 кВ и выше (ПС):требуется в случае обеспечения заявителя уровнем напряжения, равным указанному в заявке, а также при необходимости обеспечения нескольких точек присоединения.</t>
  </si>
  <si>
    <t>* ожидаемый факт, исходя из факта 1-го полугодия 2015г. и ожидаемого факта 2-го полугодия 2015г.</t>
  </si>
  <si>
    <t>Заместитель директора по развитию и реализации услуг</t>
  </si>
  <si>
    <t>_________________________________________</t>
  </si>
  <si>
    <t>С.Н. Плужник</t>
  </si>
  <si>
    <t>Начальник управления перспективного развития и технологического присоединения</t>
  </si>
  <si>
    <t>С.Г. Епифанов</t>
  </si>
  <si>
    <t xml:space="preserve">Начальник управления капитального строительства </t>
  </si>
  <si>
    <t>А.В. Барков</t>
  </si>
  <si>
    <t>исп.</t>
  </si>
  <si>
    <t>тел. исп.</t>
  </si>
  <si>
    <t>формулы</t>
  </si>
  <si>
    <t>к заполнению</t>
  </si>
  <si>
    <t>Заместитель директора по инвестиционной деятельности</t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</si>
  <si>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8900 кВт включительно</t>
    </r>
  </si>
  <si>
    <t>факт</t>
  </si>
  <si>
    <t>утв. ИПР</t>
  </si>
  <si>
    <t>2016 утв ИПР</t>
  </si>
  <si>
    <t>материал провода - медные жилы (один кабель в траншее)</t>
  </si>
  <si>
    <t>материал провода - медные жилы (два кабеля в траншее)</t>
  </si>
  <si>
    <t>материал провода - алюминиевые жилы (один кабель в траншее)</t>
  </si>
  <si>
    <t>материал провода - алюминиевые жилы (два кабеля в траншее)</t>
  </si>
  <si>
    <t>Разбивка НВВ по каждому мероприятию, (руб.)*</t>
  </si>
  <si>
    <t>Объем максимальной мощности, (кВт)</t>
  </si>
  <si>
    <t>Ставки для расчета платы по каждому мероприятию, (руб./ кВт)</t>
  </si>
  <si>
    <t>гр.1</t>
  </si>
  <si>
    <t>гр.2</t>
  </si>
  <si>
    <t>гр.3</t>
  </si>
  <si>
    <t>гр.4</t>
  </si>
  <si>
    <t>гр.5</t>
  </si>
  <si>
    <t>до 15 кВт включительно                                        ( льготная категория заявителей), шт</t>
  </si>
  <si>
    <t>Подготовка и выдача сетевой организацией технических условий Заявителю (ТУ)</t>
  </si>
  <si>
    <t>до 15 кВт включительно                                        (не льготная категория заявителей)</t>
  </si>
  <si>
    <t>по временной схеме**</t>
  </si>
  <si>
    <t>Разработка сетевой организацией проектной документации по строительству "последней мили"***</t>
  </si>
  <si>
    <t>до 15 кВт включительно                                    (не льготная категория заявителей)</t>
  </si>
  <si>
    <t>Выполнение сетевой организацией мероприятий, связанных со строительством "последней мили", всего в т.ч.: ***</t>
  </si>
  <si>
    <t>строительство комплексных трансформаторных подстанций (КТП), распределительных трансформаторных подстанций (РТП) с классом напряжения до 35 кВ</t>
  </si>
  <si>
    <t>строительство центров питания, подстанций классом напряжения 35 кВ и выше (ПС)</t>
  </si>
  <si>
    <t>до 15 кВт включительно                                         (не льготная категория заявителей)</t>
  </si>
  <si>
    <t>Проверка сетевой организацией выполнения заявителем ТУ</t>
  </si>
  <si>
    <t>4.1.</t>
  </si>
  <si>
    <t>4.2.</t>
  </si>
  <si>
    <t>Участие в осмотре должностным лицом Ростехнадзора присоединяемых Устройств заявителя</t>
  </si>
  <si>
    <t>5.1.</t>
  </si>
  <si>
    <t>5.2.</t>
  </si>
  <si>
    <t>Фактические действия по присоединению и обеспечению работы Устройств в электрической сети</t>
  </si>
  <si>
    <t>6.1.</t>
  </si>
  <si>
    <t>6.2.</t>
  </si>
  <si>
    <t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"Астраханьэнерго"</t>
  </si>
  <si>
    <t>Приложение № 6</t>
  </si>
  <si>
    <r>
      <t>Калькуляция стоимости мероприятий, осуществляемых при технологическом 
присоединении единицы мощности (1 кВт)</t>
    </r>
    <r>
      <rPr>
        <b/>
        <sz val="18"/>
        <rFont val="Times New Roman"/>
        <family val="1"/>
      </rPr>
      <t xml:space="preserve"> </t>
    </r>
  </si>
  <si>
    <t>(В соответствии с приложением 2 к Методическим указаниям по определению размера платы за технологическое присоединение к электрическим сетям, утвержденным Приказом ФСТ России от 11.09.12 №209-э/1)</t>
  </si>
  <si>
    <t>В связи с эквивалентностью трудозатрат ставки платы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мощностии, по постоянной схеме присоединения и по временной одинаковые</t>
  </si>
  <si>
    <t>С 01 октября 2015г размер включаемых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может составлять более чем 50 процентов от величины указанных расходов</t>
  </si>
  <si>
    <t>Заместитель директора по экономике и финансам</t>
  </si>
  <si>
    <t>И.Б. Анашкина</t>
  </si>
  <si>
    <t>ВЛ</t>
  </si>
  <si>
    <t>КЛ</t>
  </si>
  <si>
    <t>ПС</t>
  </si>
  <si>
    <t>КТП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</si>
</sst>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8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i/>
      <sz val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dash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ashed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5" fillId="0" borderId="9" applyNumberFormat="0" applyFill="0" applyAlignment="0" applyProtection="0"/>
    <xf numFmtId="0" fontId="10" fillId="0" borderId="0">
      <alignment/>
      <protection/>
    </xf>
    <xf numFmtId="0" fontId="7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8" fillId="4" borderId="0" applyBorder="0">
      <alignment horizontal="right"/>
      <protection/>
    </xf>
    <xf numFmtId="0" fontId="77" fillId="31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60">
      <alignment/>
      <protection/>
    </xf>
    <xf numFmtId="0" fontId="6" fillId="0" borderId="0" xfId="60" applyFill="1">
      <alignment/>
      <protection/>
    </xf>
    <xf numFmtId="0" fontId="11" fillId="0" borderId="0" xfId="60" applyFont="1" applyFill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14" fillId="0" borderId="0" xfId="63" applyFont="1" applyAlignment="1">
      <alignment/>
      <protection/>
    </xf>
    <xf numFmtId="0" fontId="14" fillId="0" borderId="0" xfId="63" applyFont="1" applyAlignment="1">
      <alignment horizontal="center"/>
      <protection/>
    </xf>
    <xf numFmtId="0" fontId="6" fillId="0" borderId="0" xfId="60" applyAlignment="1">
      <alignment horizontal="center" vertical="center"/>
      <protection/>
    </xf>
    <xf numFmtId="0" fontId="15" fillId="0" borderId="0" xfId="60" applyFont="1">
      <alignment/>
      <protection/>
    </xf>
    <xf numFmtId="0" fontId="19" fillId="0" borderId="0" xfId="0" applyFont="1" applyBorder="1" applyAlignment="1">
      <alignment horizontal="center" wrapText="1"/>
    </xf>
    <xf numFmtId="0" fontId="14" fillId="0" borderId="0" xfId="63" applyFont="1" applyAlignment="1">
      <alignment horizontal="center" vertical="center" wrapText="1"/>
      <protection/>
    </xf>
    <xf numFmtId="0" fontId="6" fillId="0" borderId="0" xfId="60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0" xfId="63" applyNumberFormat="1" applyFont="1" applyBorder="1" applyAlignment="1">
      <alignment horizontal="center"/>
      <protection/>
    </xf>
    <xf numFmtId="49" fontId="4" fillId="0" borderId="10" xfId="63" applyNumberFormat="1" applyFont="1" applyBorder="1" applyAlignment="1">
      <alignment horizontal="center"/>
      <protection/>
    </xf>
    <xf numFmtId="49" fontId="3" fillId="0" borderId="11" xfId="63" applyNumberFormat="1" applyFont="1" applyFill="1" applyBorder="1" applyAlignment="1">
      <alignment horizontal="center" vertical="center"/>
      <protection/>
    </xf>
    <xf numFmtId="49" fontId="3" fillId="0" borderId="12" xfId="6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2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2" borderId="0" xfId="0" applyFill="1" applyAlignment="1">
      <alignment/>
    </xf>
    <xf numFmtId="0" fontId="3" fillId="0" borderId="12" xfId="63" applyFont="1" applyBorder="1" applyAlignment="1">
      <alignment horizontal="left" wrapText="1"/>
      <protection/>
    </xf>
    <xf numFmtId="0" fontId="4" fillId="0" borderId="10" xfId="63" applyFont="1" applyBorder="1" applyAlignment="1">
      <alignment horizontal="left" wrapText="1"/>
      <protection/>
    </xf>
    <xf numFmtId="0" fontId="4" fillId="0" borderId="10" xfId="63" applyFont="1" applyBorder="1" applyAlignment="1">
      <alignment vertical="justify" wrapText="1"/>
      <protection/>
    </xf>
    <xf numFmtId="49" fontId="4" fillId="0" borderId="10" xfId="63" applyNumberFormat="1" applyFont="1" applyBorder="1" applyAlignment="1">
      <alignment horizontal="left" wrapText="1"/>
      <protection/>
    </xf>
    <xf numFmtId="0" fontId="3" fillId="0" borderId="10" xfId="63" applyFont="1" applyBorder="1" applyAlignment="1">
      <alignment horizontal="left" wrapText="1"/>
      <protection/>
    </xf>
    <xf numFmtId="0" fontId="3" fillId="0" borderId="11" xfId="63" applyFont="1" applyBorder="1" applyAlignment="1">
      <alignment horizontal="left" wrapText="1"/>
      <protection/>
    </xf>
    <xf numFmtId="0" fontId="11" fillId="0" borderId="0" xfId="60" applyFont="1" applyFill="1" applyAlignment="1">
      <alignment horizontal="right" wrapText="1"/>
      <protection/>
    </xf>
    <xf numFmtId="4" fontId="1" fillId="32" borderId="13" xfId="0" applyNumberFormat="1" applyFont="1" applyFill="1" applyBorder="1" applyAlignment="1">
      <alignment horizontal="center" vertical="center" wrapText="1"/>
    </xf>
    <xf numFmtId="3" fontId="1" fillId="32" borderId="21" xfId="0" applyNumberFormat="1" applyFont="1" applyFill="1" applyBorder="1" applyAlignment="1">
      <alignment horizontal="center" vertical="center" wrapText="1"/>
    </xf>
    <xf numFmtId="3" fontId="1" fillId="32" borderId="22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59" applyFont="1" applyFill="1" applyAlignment="1">
      <alignment horizontal="right" vertical="center" wrapText="1"/>
      <protection/>
    </xf>
    <xf numFmtId="0" fontId="5" fillId="0" borderId="0" xfId="59" applyFont="1" applyFill="1" applyAlignment="1">
      <alignment vertical="center" wrapText="1"/>
      <protection/>
    </xf>
    <xf numFmtId="0" fontId="5" fillId="0" borderId="0" xfId="63" applyFont="1" applyAlignment="1">
      <alignment horizontal="right"/>
      <protection/>
    </xf>
    <xf numFmtId="4" fontId="2" fillId="32" borderId="23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3" fillId="0" borderId="26" xfId="63" applyNumberFormat="1" applyFont="1" applyBorder="1" applyAlignment="1">
      <alignment horizontal="center"/>
      <protection/>
    </xf>
    <xf numFmtId="0" fontId="4" fillId="0" borderId="26" xfId="63" applyFont="1" applyBorder="1" applyAlignment="1">
      <alignment horizontal="left" wrapText="1"/>
      <protection/>
    </xf>
    <xf numFmtId="0" fontId="2" fillId="0" borderId="0" xfId="60" applyFont="1" applyAlignment="1">
      <alignment horizontal="right" vertical="top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60" applyFont="1" applyAlignment="1">
      <alignment horizontal="left" wrapText="1"/>
      <protection/>
    </xf>
    <xf numFmtId="0" fontId="0" fillId="32" borderId="17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Border="1" applyAlignment="1">
      <alignment vertical="center" wrapText="1"/>
    </xf>
    <xf numFmtId="4" fontId="0" fillId="32" borderId="0" xfId="0" applyNumberFormat="1" applyFill="1" applyBorder="1" applyAlignment="1">
      <alignment/>
    </xf>
    <xf numFmtId="3" fontId="1" fillId="32" borderId="0" xfId="0" applyNumberFormat="1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1" fillId="32" borderId="27" xfId="0" applyNumberFormat="1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center" vertical="center" wrapText="1"/>
    </xf>
    <xf numFmtId="3" fontId="1" fillId="32" borderId="28" xfId="0" applyNumberFormat="1" applyFont="1" applyFill="1" applyBorder="1" applyAlignment="1">
      <alignment horizontal="center" vertical="center" wrapText="1"/>
    </xf>
    <xf numFmtId="3" fontId="1" fillId="32" borderId="29" xfId="0" applyNumberFormat="1" applyFont="1" applyFill="1" applyBorder="1" applyAlignment="1">
      <alignment horizontal="center" vertical="center" wrapText="1"/>
    </xf>
    <xf numFmtId="3" fontId="1" fillId="32" borderId="30" xfId="0" applyNumberFormat="1" applyFont="1" applyFill="1" applyBorder="1" applyAlignment="1">
      <alignment horizontal="center" vertical="center" wrapText="1"/>
    </xf>
    <xf numFmtId="3" fontId="1" fillId="32" borderId="31" xfId="0" applyNumberFormat="1" applyFont="1" applyFill="1" applyBorder="1" applyAlignment="1">
      <alignment horizontal="center" vertical="center" wrapText="1"/>
    </xf>
    <xf numFmtId="0" fontId="0" fillId="32" borderId="31" xfId="0" applyFill="1" applyBorder="1" applyAlignment="1">
      <alignment/>
    </xf>
    <xf numFmtId="3" fontId="1" fillId="32" borderId="32" xfId="0" applyNumberFormat="1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3" fontId="1" fillId="32" borderId="34" xfId="0" applyNumberFormat="1" applyFont="1" applyFill="1" applyBorder="1" applyAlignment="1">
      <alignment horizontal="center" vertical="center" wrapText="1"/>
    </xf>
    <xf numFmtId="3" fontId="1" fillId="32" borderId="35" xfId="0" applyNumberFormat="1" applyFont="1" applyFill="1" applyBorder="1" applyAlignment="1">
      <alignment horizontal="center" vertical="center" wrapText="1"/>
    </xf>
    <xf numFmtId="0" fontId="0" fillId="32" borderId="36" xfId="0" applyFill="1" applyBorder="1" applyAlignment="1">
      <alignment/>
    </xf>
    <xf numFmtId="3" fontId="1" fillId="32" borderId="37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0" xfId="60" applyAlignment="1">
      <alignment horizontal="right"/>
      <protection/>
    </xf>
    <xf numFmtId="41" fontId="3" fillId="32" borderId="38" xfId="63" applyNumberFormat="1" applyFont="1" applyFill="1" applyBorder="1" applyAlignment="1">
      <alignment horizontal="center"/>
      <protection/>
    </xf>
    <xf numFmtId="41" fontId="3" fillId="32" borderId="39" xfId="63" applyNumberFormat="1" applyFont="1" applyFill="1" applyBorder="1" applyAlignment="1">
      <alignment horizontal="center"/>
      <protection/>
    </xf>
    <xf numFmtId="195" fontId="20" fillId="32" borderId="40" xfId="74" applyNumberFormat="1" applyFont="1" applyFill="1" applyBorder="1" applyAlignment="1">
      <alignment horizontal="center" vertical="center" wrapText="1"/>
    </xf>
    <xf numFmtId="41" fontId="4" fillId="32" borderId="40" xfId="63" applyNumberFormat="1" applyFont="1" applyFill="1" applyBorder="1" applyAlignment="1">
      <alignment horizontal="center"/>
      <protection/>
    </xf>
    <xf numFmtId="195" fontId="20" fillId="32" borderId="40" xfId="77" applyNumberFormat="1" applyFont="1" applyFill="1" applyBorder="1" applyAlignment="1">
      <alignment horizontal="center" vertical="center" wrapText="1"/>
    </xf>
    <xf numFmtId="195" fontId="3" fillId="32" borderId="40" xfId="74" applyNumberFormat="1" applyFont="1" applyFill="1" applyBorder="1" applyAlignment="1">
      <alignment horizontal="center" vertical="center" wrapText="1"/>
    </xf>
    <xf numFmtId="175" fontId="20" fillId="32" borderId="40" xfId="74" applyFont="1" applyFill="1" applyBorder="1" applyAlignment="1">
      <alignment horizontal="center" vertical="center" wrapText="1"/>
    </xf>
    <xf numFmtId="41" fontId="3" fillId="32" borderId="41" xfId="63" applyNumberFormat="1" applyFont="1" applyFill="1" applyBorder="1" applyAlignment="1">
      <alignment horizontal="center" vertical="center"/>
      <protection/>
    </xf>
    <xf numFmtId="41" fontId="3" fillId="32" borderId="12" xfId="63" applyNumberFormat="1" applyFont="1" applyFill="1" applyBorder="1" applyAlignment="1">
      <alignment horizontal="center"/>
      <protection/>
    </xf>
    <xf numFmtId="41" fontId="3" fillId="32" borderId="26" xfId="63" applyNumberFormat="1" applyFont="1" applyFill="1" applyBorder="1" applyAlignment="1">
      <alignment horizontal="center"/>
      <protection/>
    </xf>
    <xf numFmtId="195" fontId="20" fillId="32" borderId="10" xfId="74" applyNumberFormat="1" applyFont="1" applyFill="1" applyBorder="1" applyAlignment="1">
      <alignment horizontal="center" vertical="center" wrapText="1"/>
    </xf>
    <xf numFmtId="41" fontId="4" fillId="32" borderId="10" xfId="63" applyNumberFormat="1" applyFont="1" applyFill="1" applyBorder="1" applyAlignment="1">
      <alignment horizontal="center"/>
      <protection/>
    </xf>
    <xf numFmtId="0" fontId="6" fillId="0" borderId="42" xfId="60" applyFill="1" applyBorder="1">
      <alignment/>
      <protection/>
    </xf>
    <xf numFmtId="195" fontId="20" fillId="32" borderId="10" xfId="77" applyNumberFormat="1" applyFont="1" applyFill="1" applyBorder="1" applyAlignment="1">
      <alignment horizontal="center" vertical="center" wrapText="1"/>
    </xf>
    <xf numFmtId="41" fontId="3" fillId="32" borderId="10" xfId="63" applyNumberFormat="1" applyFont="1" applyFill="1" applyBorder="1" applyAlignment="1">
      <alignment horizontal="center" vertical="center"/>
      <protection/>
    </xf>
    <xf numFmtId="175" fontId="20" fillId="32" borderId="10" xfId="74" applyFont="1" applyFill="1" applyBorder="1" applyAlignment="1">
      <alignment horizontal="center" vertical="center" wrapText="1"/>
    </xf>
    <xf numFmtId="41" fontId="3" fillId="32" borderId="11" xfId="63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1" fillId="32" borderId="13" xfId="0" applyFont="1" applyFill="1" applyBorder="1" applyAlignment="1">
      <alignment horizontal="center" vertical="center" wrapText="1"/>
    </xf>
    <xf numFmtId="1" fontId="2" fillId="32" borderId="13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2" fillId="32" borderId="13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right"/>
    </xf>
    <xf numFmtId="0" fontId="2" fillId="32" borderId="0" xfId="0" applyFont="1" applyFill="1" applyBorder="1" applyAlignment="1">
      <alignment horizontal="center" wrapText="1"/>
    </xf>
    <xf numFmtId="0" fontId="23" fillId="32" borderId="0" xfId="0" applyFont="1" applyFill="1" applyAlignment="1">
      <alignment/>
    </xf>
    <xf numFmtId="0" fontId="24" fillId="32" borderId="0" xfId="0" applyFont="1" applyFill="1" applyBorder="1" applyAlignment="1">
      <alignment horizontal="center"/>
    </xf>
    <xf numFmtId="4" fontId="23" fillId="32" borderId="0" xfId="0" applyNumberFormat="1" applyFont="1" applyFill="1" applyAlignment="1">
      <alignment/>
    </xf>
    <xf numFmtId="0" fontId="23" fillId="32" borderId="13" xfId="0" applyFont="1" applyFill="1" applyBorder="1" applyAlignment="1">
      <alignment/>
    </xf>
    <xf numFmtId="4" fontId="23" fillId="32" borderId="13" xfId="0" applyNumberFormat="1" applyFont="1" applyFill="1" applyBorder="1" applyAlignment="1">
      <alignment/>
    </xf>
    <xf numFmtId="4" fontId="1" fillId="32" borderId="13" xfId="0" applyNumberFormat="1" applyFont="1" applyFill="1" applyBorder="1" applyAlignment="1">
      <alignment vertical="center" wrapText="1"/>
    </xf>
    <xf numFmtId="4" fontId="24" fillId="32" borderId="13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 wrapText="1"/>
    </xf>
    <xf numFmtId="4" fontId="27" fillId="32" borderId="13" xfId="62" applyNumberFormat="1" applyFont="1" applyFill="1" applyBorder="1" applyAlignment="1">
      <alignment horizontal="center" vertical="center"/>
      <protection/>
    </xf>
    <xf numFmtId="4" fontId="25" fillId="32" borderId="13" xfId="62" applyNumberFormat="1" applyFont="1" applyFill="1" applyBorder="1" applyAlignment="1">
      <alignment horizontal="center" vertical="center"/>
      <protection/>
    </xf>
    <xf numFmtId="4" fontId="23" fillId="32" borderId="13" xfId="0" applyNumberFormat="1" applyFont="1" applyFill="1" applyBorder="1" applyAlignment="1">
      <alignment horizontal="center" vertical="center"/>
    </xf>
    <xf numFmtId="4" fontId="24" fillId="32" borderId="0" xfId="0" applyNumberFormat="1" applyFont="1" applyFill="1" applyAlignment="1">
      <alignment/>
    </xf>
    <xf numFmtId="49" fontId="23" fillId="32" borderId="13" xfId="0" applyNumberFormat="1" applyFont="1" applyFill="1" applyBorder="1" applyAlignment="1">
      <alignment horizontal="right"/>
    </xf>
    <xf numFmtId="188" fontId="27" fillId="32" borderId="13" xfId="62" applyNumberFormat="1" applyFont="1" applyFill="1" applyBorder="1" applyAlignment="1">
      <alignment horizontal="center" vertical="center"/>
      <protection/>
    </xf>
    <xf numFmtId="4" fontId="2" fillId="32" borderId="13" xfId="62" applyNumberFormat="1" applyFont="1" applyFill="1" applyBorder="1" applyAlignment="1">
      <alignment horizontal="center" vertical="center"/>
      <protection/>
    </xf>
    <xf numFmtId="4" fontId="78" fillId="32" borderId="0" xfId="0" applyNumberFormat="1" applyFont="1" applyFill="1" applyAlignment="1">
      <alignment/>
    </xf>
    <xf numFmtId="2" fontId="28" fillId="32" borderId="13" xfId="0" applyNumberFormat="1" applyFont="1" applyFill="1" applyBorder="1" applyAlignment="1">
      <alignment/>
    </xf>
    <xf numFmtId="2" fontId="6" fillId="32" borderId="13" xfId="0" applyNumberFormat="1" applyFont="1" applyFill="1" applyBorder="1" applyAlignment="1">
      <alignment vertical="center" wrapText="1"/>
    </xf>
    <xf numFmtId="2" fontId="28" fillId="32" borderId="13" xfId="0" applyNumberFormat="1" applyFont="1" applyFill="1" applyBorder="1" applyAlignment="1">
      <alignment horizontal="right"/>
    </xf>
    <xf numFmtId="2" fontId="27" fillId="32" borderId="13" xfId="62" applyNumberFormat="1" applyFont="1" applyFill="1" applyBorder="1" applyAlignment="1">
      <alignment horizontal="center" vertical="center"/>
      <protection/>
    </xf>
    <xf numFmtId="2" fontId="6" fillId="32" borderId="13" xfId="62" applyNumberFormat="1" applyFont="1" applyFill="1" applyBorder="1" applyAlignment="1">
      <alignment horizontal="center" vertical="center"/>
      <protection/>
    </xf>
    <xf numFmtId="0" fontId="23" fillId="32" borderId="0" xfId="0" applyFont="1" applyFill="1" applyAlignment="1">
      <alignment horizontal="center"/>
    </xf>
    <xf numFmtId="2" fontId="5" fillId="32" borderId="13" xfId="0" applyNumberFormat="1" applyFont="1" applyFill="1" applyBorder="1" applyAlignment="1">
      <alignment vertical="center" wrapText="1"/>
    </xf>
    <xf numFmtId="0" fontId="23" fillId="32" borderId="0" xfId="0" applyFont="1" applyFill="1" applyAlignment="1">
      <alignment horizontal="center" vertical="center"/>
    </xf>
    <xf numFmtId="4" fontId="23" fillId="32" borderId="0" xfId="0" applyNumberFormat="1" applyFont="1" applyFill="1" applyAlignment="1">
      <alignment horizontal="center" vertical="center"/>
    </xf>
    <xf numFmtId="2" fontId="5" fillId="32" borderId="13" xfId="62" applyNumberFormat="1" applyFont="1" applyFill="1" applyBorder="1" applyAlignment="1">
      <alignment horizontal="center" vertical="center"/>
      <protection/>
    </xf>
    <xf numFmtId="2" fontId="23" fillId="32" borderId="0" xfId="0" applyNumberFormat="1" applyFont="1" applyFill="1" applyAlignment="1">
      <alignment/>
    </xf>
    <xf numFmtId="4" fontId="78" fillId="32" borderId="0" xfId="0" applyNumberFormat="1" applyFont="1" applyFill="1" applyAlignment="1">
      <alignment horizontal="center" vertical="center"/>
    </xf>
    <xf numFmtId="4" fontId="24" fillId="32" borderId="0" xfId="0" applyNumberFormat="1" applyFont="1" applyFill="1" applyAlignment="1">
      <alignment horizontal="center" vertical="center"/>
    </xf>
    <xf numFmtId="2" fontId="16" fillId="32" borderId="13" xfId="62" applyNumberFormat="1" applyFont="1" applyFill="1" applyBorder="1" applyAlignment="1">
      <alignment horizontal="center" vertical="center"/>
      <protection/>
    </xf>
    <xf numFmtId="2" fontId="6" fillId="0" borderId="13" xfId="62" applyNumberFormat="1" applyFont="1" applyFill="1" applyBorder="1" applyAlignment="1">
      <alignment horizontal="center" vertical="center"/>
      <protection/>
    </xf>
    <xf numFmtId="2" fontId="5" fillId="0" borderId="13" xfId="62" applyNumberFormat="1" applyFont="1" applyFill="1" applyBorder="1" applyAlignment="1">
      <alignment horizontal="center" vertical="center"/>
      <protection/>
    </xf>
    <xf numFmtId="2" fontId="79" fillId="32" borderId="13" xfId="0" applyNumberFormat="1" applyFont="1" applyFill="1" applyBorder="1" applyAlignment="1">
      <alignment vertical="center" wrapText="1"/>
    </xf>
    <xf numFmtId="0" fontId="5" fillId="32" borderId="0" xfId="0" applyFont="1" applyFill="1" applyAlignment="1">
      <alignment horizontal="justify" vertical="center"/>
    </xf>
    <xf numFmtId="0" fontId="5" fillId="32" borderId="0" xfId="0" applyFont="1" applyFill="1" applyAlignment="1">
      <alignment horizontal="center" vertical="center"/>
    </xf>
    <xf numFmtId="0" fontId="29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20" fillId="32" borderId="0" xfId="0" applyFont="1" applyFill="1" applyAlignment="1">
      <alignment horizontal="center" vertical="center"/>
    </xf>
    <xf numFmtId="0" fontId="20" fillId="32" borderId="0" xfId="61" applyFont="1" applyFill="1">
      <alignment/>
      <protection/>
    </xf>
    <xf numFmtId="0" fontId="20" fillId="32" borderId="0" xfId="0" applyFont="1" applyFill="1" applyAlignment="1">
      <alignment horizontal="left" vertical="center"/>
    </xf>
    <xf numFmtId="0" fontId="5" fillId="32" borderId="0" xfId="61" applyFont="1" applyFill="1">
      <alignment/>
      <protection/>
    </xf>
    <xf numFmtId="0" fontId="5" fillId="32" borderId="0" xfId="61" applyFont="1" applyFill="1" applyBorder="1">
      <alignment/>
      <protection/>
    </xf>
    <xf numFmtId="0" fontId="5" fillId="32" borderId="0" xfId="61" applyFont="1" applyFill="1" applyBorder="1" applyAlignment="1">
      <alignment horizontal="center"/>
      <protection/>
    </xf>
    <xf numFmtId="49" fontId="31" fillId="32" borderId="0" xfId="0" applyNumberFormat="1" applyFont="1" applyFill="1" applyAlignment="1">
      <alignment/>
    </xf>
    <xf numFmtId="0" fontId="32" fillId="32" borderId="0" xfId="61" applyFont="1" applyFill="1" applyBorder="1" applyAlignment="1">
      <alignment horizontal="center"/>
      <protection/>
    </xf>
    <xf numFmtId="0" fontId="5" fillId="32" borderId="0" xfId="61" applyFont="1" applyFill="1" applyBorder="1" applyAlignment="1">
      <alignment horizontal="left"/>
      <protection/>
    </xf>
    <xf numFmtId="0" fontId="32" fillId="32" borderId="0" xfId="61" applyFont="1" applyFill="1" applyBorder="1" applyAlignment="1">
      <alignment vertical="center" wrapText="1"/>
      <protection/>
    </xf>
    <xf numFmtId="49" fontId="20" fillId="32" borderId="0" xfId="0" applyNumberFormat="1" applyFont="1" applyFill="1" applyAlignment="1">
      <alignment/>
    </xf>
    <xf numFmtId="0" fontId="5" fillId="32" borderId="0" xfId="61" applyFont="1" applyFill="1" applyBorder="1" applyAlignment="1">
      <alignment horizontal="center" wrapText="1"/>
      <protection/>
    </xf>
    <xf numFmtId="0" fontId="32" fillId="32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center"/>
    </xf>
    <xf numFmtId="0" fontId="28" fillId="32" borderId="0" xfId="0" applyFont="1" applyFill="1" applyAlignment="1">
      <alignment/>
    </xf>
    <xf numFmtId="0" fontId="33" fillId="32" borderId="0" xfId="0" applyFont="1" applyFill="1" applyAlignment="1">
      <alignment/>
    </xf>
    <xf numFmtId="4" fontId="34" fillId="32" borderId="13" xfId="62" applyNumberFormat="1" applyFont="1" applyFill="1" applyBorder="1" applyAlignment="1">
      <alignment horizontal="center" vertical="center"/>
      <protection/>
    </xf>
    <xf numFmtId="0" fontId="35" fillId="32" borderId="0" xfId="0" applyFont="1" applyFill="1" applyBorder="1" applyAlignment="1">
      <alignment horizontal="left"/>
    </xf>
    <xf numFmtId="0" fontId="33" fillId="32" borderId="0" xfId="0" applyFont="1" applyFill="1" applyAlignment="1">
      <alignment horizontal="center"/>
    </xf>
    <xf numFmtId="4" fontId="21" fillId="32" borderId="13" xfId="0" applyNumberFormat="1" applyFont="1" applyFill="1" applyBorder="1" applyAlignment="1">
      <alignment vertical="center" wrapText="1"/>
    </xf>
    <xf numFmtId="0" fontId="33" fillId="32" borderId="24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23" fillId="32" borderId="0" xfId="0" applyFont="1" applyFill="1" applyAlignment="1">
      <alignment horizontal="left"/>
    </xf>
    <xf numFmtId="0" fontId="23" fillId="32" borderId="0" xfId="0" applyFont="1" applyFill="1" applyAlignment="1">
      <alignment horizontal="right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2" fillId="32" borderId="23" xfId="0" applyNumberFormat="1" applyFont="1" applyFill="1" applyBorder="1" applyAlignment="1">
      <alignment horizontal="center" vertical="center" wrapText="1"/>
    </xf>
    <xf numFmtId="4" fontId="1" fillId="32" borderId="2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 wrapText="1"/>
    </xf>
    <xf numFmtId="2" fontId="6" fillId="33" borderId="13" xfId="62" applyNumberFormat="1" applyFont="1" applyFill="1" applyBorder="1" applyAlignment="1">
      <alignment horizontal="center" vertical="center"/>
      <protection/>
    </xf>
    <xf numFmtId="0" fontId="2" fillId="32" borderId="32" xfId="0" applyFont="1" applyFill="1" applyBorder="1" applyAlignment="1">
      <alignment horizontal="center" vertical="center" wrapText="1"/>
    </xf>
    <xf numFmtId="3" fontId="1" fillId="32" borderId="43" xfId="0" applyNumberFormat="1" applyFont="1" applyFill="1" applyBorder="1" applyAlignment="1">
      <alignment horizontal="center" vertical="center" wrapText="1"/>
    </xf>
    <xf numFmtId="3" fontId="1" fillId="32" borderId="44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0" fontId="0" fillId="32" borderId="22" xfId="0" applyFill="1" applyBorder="1" applyAlignment="1">
      <alignment/>
    </xf>
    <xf numFmtId="0" fontId="0" fillId="32" borderId="25" xfId="0" applyFill="1" applyBorder="1" applyAlignment="1">
      <alignment/>
    </xf>
    <xf numFmtId="0" fontId="11" fillId="0" borderId="45" xfId="60" applyFont="1" applyFill="1" applyBorder="1" applyAlignment="1">
      <alignment vertical="center" wrapText="1"/>
      <protection/>
    </xf>
    <xf numFmtId="0" fontId="11" fillId="0" borderId="45" xfId="60" applyFont="1" applyFill="1" applyBorder="1" applyAlignment="1">
      <alignment horizontal="center" vertical="center" wrapText="1"/>
      <protection/>
    </xf>
    <xf numFmtId="0" fontId="11" fillId="0" borderId="46" xfId="60" applyFont="1" applyFill="1" applyBorder="1" applyAlignment="1">
      <alignment horizontal="center" vertical="center" wrapText="1"/>
      <protection/>
    </xf>
    <xf numFmtId="0" fontId="11" fillId="0" borderId="47" xfId="60" applyFont="1" applyFill="1" applyBorder="1" applyAlignment="1">
      <alignment horizontal="center" vertical="center" wrapText="1"/>
      <protection/>
    </xf>
    <xf numFmtId="0" fontId="11" fillId="0" borderId="48" xfId="60" applyFont="1" applyBorder="1" applyAlignment="1">
      <alignment horizontal="center" vertical="center" wrapText="1"/>
      <protection/>
    </xf>
    <xf numFmtId="0" fontId="11" fillId="0" borderId="49" xfId="60" applyFont="1" applyFill="1" applyBorder="1" applyAlignment="1">
      <alignment horizontal="center" vertical="center" wrapText="1"/>
      <protection/>
    </xf>
    <xf numFmtId="0" fontId="26" fillId="0" borderId="24" xfId="60" applyFont="1" applyFill="1" applyBorder="1" applyAlignment="1">
      <alignment horizontal="center" vertical="center" wrapText="1"/>
      <protection/>
    </xf>
    <xf numFmtId="0" fontId="26" fillId="0" borderId="50" xfId="60" applyFont="1" applyFill="1" applyBorder="1" applyAlignment="1">
      <alignment horizontal="center" vertical="center" wrapText="1"/>
      <protection/>
    </xf>
    <xf numFmtId="3" fontId="37" fillId="0" borderId="13" xfId="60" applyNumberFormat="1" applyFont="1" applyFill="1" applyBorder="1" applyAlignment="1">
      <alignment horizontal="left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175" fontId="37" fillId="34" borderId="13" xfId="77" applyFont="1" applyFill="1" applyBorder="1" applyAlignment="1">
      <alignment horizontal="center" vertical="center" wrapText="1"/>
    </xf>
    <xf numFmtId="175" fontId="11" fillId="34" borderId="23" xfId="77" applyFont="1" applyFill="1" applyBorder="1" applyAlignment="1">
      <alignment horizontal="center" vertical="center" wrapText="1"/>
    </xf>
    <xf numFmtId="175" fontId="11" fillId="34" borderId="27" xfId="77" applyFont="1" applyFill="1" applyBorder="1" applyAlignment="1">
      <alignment horizontal="center" vertical="center" wrapText="1"/>
    </xf>
    <xf numFmtId="0" fontId="11" fillId="0" borderId="13" xfId="60" applyFont="1" applyFill="1" applyBorder="1" applyAlignment="1">
      <alignment vertical="center" wrapText="1"/>
      <protection/>
    </xf>
    <xf numFmtId="175" fontId="11" fillId="34" borderId="13" xfId="77" applyFont="1" applyFill="1" applyBorder="1" applyAlignment="1">
      <alignment horizontal="center" vertical="center" wrapText="1"/>
    </xf>
    <xf numFmtId="0" fontId="37" fillId="0" borderId="49" xfId="60" applyFont="1" applyFill="1" applyBorder="1" applyAlignment="1">
      <alignment horizontal="center" vertical="center" wrapText="1"/>
      <protection/>
    </xf>
    <xf numFmtId="175" fontId="37" fillId="34" borderId="27" xfId="77" applyFont="1" applyFill="1" applyBorder="1" applyAlignment="1">
      <alignment horizontal="center" vertical="center" wrapText="1"/>
    </xf>
    <xf numFmtId="0" fontId="11" fillId="0" borderId="13" xfId="59" applyFont="1" applyFill="1" applyBorder="1" applyAlignment="1">
      <alignment horizontal="center" vertical="center" wrapText="1"/>
      <protection/>
    </xf>
    <xf numFmtId="175" fontId="11" fillId="35" borderId="13" xfId="77" applyFont="1" applyFill="1" applyBorder="1" applyAlignment="1">
      <alignment horizontal="center" vertical="center" wrapText="1"/>
    </xf>
    <xf numFmtId="3" fontId="11" fillId="0" borderId="13" xfId="60" applyNumberFormat="1" applyFont="1" applyFill="1" applyBorder="1" applyAlignment="1">
      <alignment horizontal="left" vertical="center" wrapText="1"/>
      <protection/>
    </xf>
    <xf numFmtId="49" fontId="11" fillId="0" borderId="13" xfId="59" applyNumberFormat="1" applyFont="1" applyFill="1" applyBorder="1" applyAlignment="1">
      <alignment horizontal="center" vertical="center" wrapText="1"/>
      <protection/>
    </xf>
    <xf numFmtId="175" fontId="11" fillId="35" borderId="23" xfId="77" applyFont="1" applyFill="1" applyBorder="1" applyAlignment="1">
      <alignment horizontal="center" vertical="center" wrapText="1"/>
    </xf>
    <xf numFmtId="49" fontId="11" fillId="0" borderId="49" xfId="60" applyNumberFormat="1" applyFont="1" applyFill="1" applyBorder="1" applyAlignment="1">
      <alignment horizontal="center" vertical="center" wrapText="1"/>
      <protection/>
    </xf>
    <xf numFmtId="49" fontId="37" fillId="0" borderId="49" xfId="60" applyNumberFormat="1" applyFont="1" applyFill="1" applyBorder="1" applyAlignment="1">
      <alignment horizontal="center" vertical="center" wrapText="1"/>
      <protection/>
    </xf>
    <xf numFmtId="0" fontId="37" fillId="0" borderId="13" xfId="60" applyFont="1" applyFill="1" applyBorder="1" applyAlignment="1">
      <alignment vertical="center" wrapText="1"/>
      <protection/>
    </xf>
    <xf numFmtId="0" fontId="11" fillId="0" borderId="15" xfId="60" applyFont="1" applyFill="1" applyBorder="1" applyAlignment="1">
      <alignment vertical="center" wrapText="1"/>
      <protection/>
    </xf>
    <xf numFmtId="0" fontId="11" fillId="0" borderId="15" xfId="59" applyFont="1" applyFill="1" applyBorder="1" applyAlignment="1">
      <alignment horizontal="center" vertical="center" wrapText="1"/>
      <protection/>
    </xf>
    <xf numFmtId="175" fontId="11" fillId="36" borderId="15" xfId="77" applyFont="1" applyFill="1" applyBorder="1" applyAlignment="1">
      <alignment horizontal="center" vertical="center" wrapText="1"/>
    </xf>
    <xf numFmtId="175" fontId="11" fillId="36" borderId="51" xfId="77" applyFont="1" applyFill="1" applyBorder="1" applyAlignment="1">
      <alignment horizontal="center" vertical="center" wrapText="1"/>
    </xf>
    <xf numFmtId="175" fontId="11" fillId="34" borderId="28" xfId="77" applyFont="1" applyFill="1" applyBorder="1" applyAlignment="1">
      <alignment horizontal="center" vertical="center" wrapText="1"/>
    </xf>
    <xf numFmtId="0" fontId="11" fillId="0" borderId="17" xfId="59" applyFont="1" applyFill="1" applyBorder="1" applyAlignment="1">
      <alignment horizontal="center" vertical="center" wrapText="1"/>
      <protection/>
    </xf>
    <xf numFmtId="175" fontId="11" fillId="36" borderId="17" xfId="77" applyFont="1" applyFill="1" applyBorder="1" applyAlignment="1">
      <alignment horizontal="center" vertical="center" wrapText="1"/>
    </xf>
    <xf numFmtId="175" fontId="11" fillId="36" borderId="52" xfId="77" applyFont="1" applyFill="1" applyBorder="1" applyAlignment="1">
      <alignment horizontal="center" vertical="center" wrapText="1"/>
    </xf>
    <xf numFmtId="175" fontId="11" fillId="34" borderId="29" xfId="77" applyFont="1" applyFill="1" applyBorder="1" applyAlignment="1">
      <alignment horizontal="center" vertical="center" wrapText="1"/>
    </xf>
    <xf numFmtId="0" fontId="11" fillId="0" borderId="19" xfId="59" applyFont="1" applyFill="1" applyBorder="1" applyAlignment="1">
      <alignment horizontal="center" vertical="center" wrapText="1"/>
      <protection/>
    </xf>
    <xf numFmtId="175" fontId="11" fillId="36" borderId="19" xfId="77" applyFont="1" applyFill="1" applyBorder="1" applyAlignment="1">
      <alignment horizontal="center" vertical="center" wrapText="1"/>
    </xf>
    <xf numFmtId="175" fontId="11" fillId="36" borderId="53" xfId="77" applyFont="1" applyFill="1" applyBorder="1" applyAlignment="1">
      <alignment horizontal="center" vertical="center" wrapText="1"/>
    </xf>
    <xf numFmtId="175" fontId="11" fillId="34" borderId="30" xfId="77" applyFont="1" applyFill="1" applyBorder="1" applyAlignment="1">
      <alignment horizontal="center" vertical="center" wrapText="1"/>
    </xf>
    <xf numFmtId="3" fontId="11" fillId="0" borderId="15" xfId="60" applyNumberFormat="1" applyFont="1" applyFill="1" applyBorder="1" applyAlignment="1">
      <alignment horizontal="left" vertical="center" wrapText="1"/>
      <protection/>
    </xf>
    <xf numFmtId="49" fontId="11" fillId="0" borderId="15" xfId="59" applyNumberFormat="1" applyFont="1" applyFill="1" applyBorder="1" applyAlignment="1">
      <alignment horizontal="center" vertical="center" wrapText="1"/>
      <protection/>
    </xf>
    <xf numFmtId="49" fontId="11" fillId="0" borderId="17" xfId="59" applyNumberFormat="1" applyFont="1" applyFill="1" applyBorder="1" applyAlignment="1">
      <alignment horizontal="center" vertical="center" wrapText="1"/>
      <protection/>
    </xf>
    <xf numFmtId="49" fontId="11" fillId="0" borderId="19" xfId="59" applyNumberFormat="1" applyFont="1" applyFill="1" applyBorder="1" applyAlignment="1">
      <alignment horizontal="center" vertical="center" wrapText="1"/>
      <protection/>
    </xf>
    <xf numFmtId="175" fontId="37" fillId="34" borderId="23" xfId="77" applyFont="1" applyFill="1" applyBorder="1" applyAlignment="1">
      <alignment horizontal="center" vertical="center" wrapText="1"/>
    </xf>
    <xf numFmtId="175" fontId="11" fillId="37" borderId="27" xfId="77" applyFont="1" applyFill="1" applyBorder="1" applyAlignment="1">
      <alignment horizontal="center" vertical="center" wrapText="1"/>
    </xf>
    <xf numFmtId="175" fontId="37" fillId="37" borderId="27" xfId="77" applyFont="1" applyFill="1" applyBorder="1" applyAlignment="1">
      <alignment horizontal="center" vertical="center" wrapText="1"/>
    </xf>
    <xf numFmtId="49" fontId="37" fillId="0" borderId="54" xfId="60" applyNumberFormat="1" applyFont="1" applyFill="1" applyBorder="1" applyAlignment="1">
      <alignment horizontal="center" vertical="center" wrapText="1"/>
      <protection/>
    </xf>
    <xf numFmtId="0" fontId="37" fillId="0" borderId="55" xfId="60" applyFont="1" applyFill="1" applyBorder="1" applyAlignment="1">
      <alignment vertical="center" wrapText="1"/>
      <protection/>
    </xf>
    <xf numFmtId="49" fontId="11" fillId="0" borderId="55" xfId="59" applyNumberFormat="1" applyFont="1" applyFill="1" applyBorder="1" applyAlignment="1">
      <alignment horizontal="center" vertical="center" wrapText="1"/>
      <protection/>
    </xf>
    <xf numFmtId="175" fontId="11" fillId="35" borderId="55" xfId="77" applyFont="1" applyFill="1" applyBorder="1" applyAlignment="1">
      <alignment horizontal="center" vertical="center" wrapText="1"/>
    </xf>
    <xf numFmtId="175" fontId="11" fillId="37" borderId="56" xfId="77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57" xfId="0" applyNumberFormat="1" applyFont="1" applyFill="1" applyBorder="1" applyAlignment="1">
      <alignment horizontal="center" vertical="center" wrapText="1"/>
    </xf>
    <xf numFmtId="3" fontId="1" fillId="32" borderId="58" xfId="0" applyNumberFormat="1" applyFont="1" applyFill="1" applyBorder="1" applyAlignment="1">
      <alignment horizontal="center" vertical="center" wrapText="1"/>
    </xf>
    <xf numFmtId="3" fontId="1" fillId="32" borderId="59" xfId="0" applyNumberFormat="1" applyFont="1" applyFill="1" applyBorder="1" applyAlignment="1">
      <alignment horizontal="center" vertical="center" wrapText="1"/>
    </xf>
    <xf numFmtId="3" fontId="1" fillId="32" borderId="60" xfId="0" applyNumberFormat="1" applyFont="1" applyFill="1" applyBorder="1" applyAlignment="1">
      <alignment horizontal="center" vertical="center" wrapText="1"/>
    </xf>
    <xf numFmtId="3" fontId="1" fillId="32" borderId="61" xfId="0" applyNumberFormat="1" applyFont="1" applyFill="1" applyBorder="1" applyAlignment="1">
      <alignment horizontal="center" vertical="center" wrapText="1"/>
    </xf>
    <xf numFmtId="0" fontId="0" fillId="32" borderId="62" xfId="0" applyFill="1" applyBorder="1" applyAlignment="1">
      <alignment/>
    </xf>
    <xf numFmtId="3" fontId="1" fillId="32" borderId="63" xfId="0" applyNumberFormat="1" applyFont="1" applyFill="1" applyBorder="1" applyAlignment="1">
      <alignment horizontal="center" vertical="center" wrapText="1"/>
    </xf>
    <xf numFmtId="3" fontId="1" fillId="32" borderId="36" xfId="0" applyNumberFormat="1" applyFont="1" applyFill="1" applyBorder="1" applyAlignment="1">
      <alignment horizontal="center" vertical="center" wrapText="1"/>
    </xf>
    <xf numFmtId="3" fontId="1" fillId="32" borderId="62" xfId="0" applyNumberFormat="1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32" borderId="55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4" fontId="1" fillId="32" borderId="46" xfId="0" applyNumberFormat="1" applyFont="1" applyFill="1" applyBorder="1" applyAlignment="1">
      <alignment horizontal="center" vertical="center" wrapText="1"/>
    </xf>
    <xf numFmtId="4" fontId="1" fillId="32" borderId="48" xfId="0" applyNumberFormat="1" applyFont="1" applyFill="1" applyBorder="1" applyAlignment="1">
      <alignment horizontal="center" vertical="center" wrapText="1"/>
    </xf>
    <xf numFmtId="4" fontId="2" fillId="32" borderId="40" xfId="0" applyNumberFormat="1" applyFont="1" applyFill="1" applyBorder="1" applyAlignment="1">
      <alignment vertical="center" wrapText="1"/>
    </xf>
    <xf numFmtId="4" fontId="1" fillId="32" borderId="49" xfId="0" applyNumberFormat="1" applyFont="1" applyFill="1" applyBorder="1" applyAlignment="1">
      <alignment horizontal="center" vertical="center" wrapText="1"/>
    </xf>
    <xf numFmtId="4" fontId="2" fillId="32" borderId="49" xfId="0" applyNumberFormat="1" applyFont="1" applyFill="1" applyBorder="1" applyAlignment="1">
      <alignment horizontal="center" vertical="center" wrapText="1"/>
    </xf>
    <xf numFmtId="3" fontId="1" fillId="32" borderId="65" xfId="0" applyNumberFormat="1" applyFont="1" applyFill="1" applyBorder="1" applyAlignment="1">
      <alignment horizontal="center" vertical="center" wrapText="1"/>
    </xf>
    <xf numFmtId="3" fontId="1" fillId="32" borderId="66" xfId="0" applyNumberFormat="1" applyFont="1" applyFill="1" applyBorder="1" applyAlignment="1">
      <alignment horizontal="center" vertical="center" wrapText="1"/>
    </xf>
    <xf numFmtId="3" fontId="1" fillId="32" borderId="67" xfId="0" applyNumberFormat="1" applyFont="1" applyFill="1" applyBorder="1" applyAlignment="1">
      <alignment horizontal="center" vertical="center" wrapText="1"/>
    </xf>
    <xf numFmtId="3" fontId="1" fillId="32" borderId="68" xfId="0" applyNumberFormat="1" applyFont="1" applyFill="1" applyBorder="1" applyAlignment="1">
      <alignment horizontal="center" vertical="center" wrapText="1"/>
    </xf>
    <xf numFmtId="3" fontId="1" fillId="32" borderId="69" xfId="0" applyNumberFormat="1" applyFont="1" applyFill="1" applyBorder="1" applyAlignment="1">
      <alignment horizontal="center" vertical="center" wrapText="1"/>
    </xf>
    <xf numFmtId="3" fontId="1" fillId="32" borderId="70" xfId="0" applyNumberFormat="1" applyFont="1" applyFill="1" applyBorder="1" applyAlignment="1">
      <alignment horizontal="center" vertical="center" wrapText="1"/>
    </xf>
    <xf numFmtId="3" fontId="1" fillId="32" borderId="71" xfId="0" applyNumberFormat="1" applyFont="1" applyFill="1" applyBorder="1" applyAlignment="1">
      <alignment horizontal="center" vertical="center" wrapText="1"/>
    </xf>
    <xf numFmtId="0" fontId="1" fillId="32" borderId="72" xfId="0" applyFont="1" applyFill="1" applyBorder="1" applyAlignment="1">
      <alignment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2" fillId="32" borderId="49" xfId="60" applyNumberFormat="1" applyFont="1" applyFill="1" applyBorder="1" applyAlignment="1">
      <alignment horizontal="left" vertical="center" wrapText="1"/>
      <protection/>
    </xf>
    <xf numFmtId="0" fontId="2" fillId="32" borderId="49" xfId="0" applyFont="1" applyFill="1" applyBorder="1" applyAlignment="1">
      <alignment vertical="center" wrapText="1"/>
    </xf>
    <xf numFmtId="0" fontId="1" fillId="32" borderId="49" xfId="0" applyFont="1" applyFill="1" applyBorder="1" applyAlignment="1">
      <alignment vertical="center" wrapText="1"/>
    </xf>
    <xf numFmtId="0" fontId="2" fillId="32" borderId="73" xfId="0" applyFont="1" applyFill="1" applyBorder="1" applyAlignment="1">
      <alignment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2" borderId="74" xfId="0" applyNumberFormat="1" applyFont="1" applyFill="1" applyBorder="1" applyAlignment="1">
      <alignment horizontal="center" vertical="center" wrapText="1"/>
    </xf>
    <xf numFmtId="4" fontId="2" fillId="32" borderId="73" xfId="0" applyNumberFormat="1" applyFont="1" applyFill="1" applyBorder="1" applyAlignment="1">
      <alignment horizontal="center" vertical="center" wrapText="1"/>
    </xf>
    <xf numFmtId="4" fontId="2" fillId="32" borderId="50" xfId="0" applyNumberFormat="1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3" fontId="1" fillId="32" borderId="75" xfId="0" applyNumberFormat="1" applyFont="1" applyFill="1" applyBorder="1" applyAlignment="1">
      <alignment horizontal="center" vertical="center" wrapText="1"/>
    </xf>
    <xf numFmtId="3" fontId="1" fillId="32" borderId="76" xfId="0" applyNumberFormat="1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left" vertical="center" wrapText="1"/>
    </xf>
    <xf numFmtId="0" fontId="2" fillId="32" borderId="66" xfId="0" applyFont="1" applyFill="1" applyBorder="1" applyAlignment="1">
      <alignment horizontal="center" vertical="center" wrapText="1"/>
    </xf>
    <xf numFmtId="3" fontId="1" fillId="32" borderId="77" xfId="0" applyNumberFormat="1" applyFont="1" applyFill="1" applyBorder="1" applyAlignment="1">
      <alignment horizontal="center" vertical="center" wrapText="1"/>
    </xf>
    <xf numFmtId="0" fontId="2" fillId="32" borderId="78" xfId="0" applyFont="1" applyFill="1" applyBorder="1" applyAlignment="1">
      <alignment vertical="center" wrapText="1"/>
    </xf>
    <xf numFmtId="0" fontId="2" fillId="32" borderId="79" xfId="0" applyFont="1" applyFill="1" applyBorder="1" applyAlignment="1">
      <alignment vertical="center" wrapText="1"/>
    </xf>
    <xf numFmtId="0" fontId="2" fillId="32" borderId="34" xfId="0" applyFont="1" applyFill="1" applyBorder="1" applyAlignment="1">
      <alignment horizontal="left" vertical="center" wrapText="1"/>
    </xf>
    <xf numFmtId="0" fontId="2" fillId="32" borderId="80" xfId="0" applyFont="1" applyFill="1" applyBorder="1" applyAlignment="1">
      <alignment vertical="center" wrapText="1"/>
    </xf>
    <xf numFmtId="3" fontId="1" fillId="32" borderId="81" xfId="0" applyNumberFormat="1" applyFont="1" applyFill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0" fontId="2" fillId="32" borderId="75" xfId="0" applyFont="1" applyFill="1" applyBorder="1" applyAlignment="1">
      <alignment horizontal="center" vertical="center" wrapText="1"/>
    </xf>
    <xf numFmtId="3" fontId="1" fillId="32" borderId="82" xfId="0" applyNumberFormat="1" applyFont="1" applyFill="1" applyBorder="1" applyAlignment="1">
      <alignment horizontal="center" vertical="center" wrapText="1"/>
    </xf>
    <xf numFmtId="0" fontId="2" fillId="32" borderId="72" xfId="0" applyFont="1" applyFill="1" applyBorder="1" applyAlignment="1">
      <alignment horizontal="left" vertical="center" wrapText="1"/>
    </xf>
    <xf numFmtId="0" fontId="2" fillId="32" borderId="49" xfId="0" applyFont="1" applyFill="1" applyBorder="1" applyAlignment="1">
      <alignment horizontal="left" vertical="center" wrapText="1"/>
    </xf>
    <xf numFmtId="0" fontId="2" fillId="32" borderId="54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2" fontId="2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24" xfId="0" applyNumberFormat="1" applyFill="1" applyBorder="1" applyAlignment="1">
      <alignment horizontal="center" vertical="top"/>
    </xf>
    <xf numFmtId="4" fontId="0" fillId="0" borderId="83" xfId="0" applyNumberFormat="1" applyFill="1" applyBorder="1" applyAlignment="1">
      <alignment horizontal="center" vertical="top"/>
    </xf>
    <xf numFmtId="4" fontId="0" fillId="0" borderId="13" xfId="0" applyNumberFormat="1" applyFill="1" applyBorder="1" applyAlignment="1">
      <alignment horizontal="center" vertical="top"/>
    </xf>
    <xf numFmtId="4" fontId="0" fillId="0" borderId="25" xfId="0" applyNumberFormat="1" applyFill="1" applyBorder="1" applyAlignment="1">
      <alignment horizontal="center" vertical="top"/>
    </xf>
    <xf numFmtId="4" fontId="0" fillId="0" borderId="14" xfId="0" applyNumberFormat="1" applyFill="1" applyBorder="1" applyAlignment="1">
      <alignment horizontal="center" vertical="top"/>
    </xf>
    <xf numFmtId="4" fontId="0" fillId="0" borderId="84" xfId="0" applyNumberFormat="1" applyFill="1" applyBorder="1" applyAlignment="1">
      <alignment horizontal="center" vertical="top"/>
    </xf>
    <xf numFmtId="4" fontId="0" fillId="0" borderId="85" xfId="0" applyNumberFormat="1" applyFill="1" applyBorder="1" applyAlignment="1">
      <alignment horizontal="center" vertical="top"/>
    </xf>
    <xf numFmtId="3" fontId="0" fillId="0" borderId="24" xfId="0" applyNumberFormat="1" applyFill="1" applyBorder="1" applyAlignment="1">
      <alignment horizontal="center" vertical="top"/>
    </xf>
    <xf numFmtId="3" fontId="0" fillId="0" borderId="14" xfId="0" applyNumberFormat="1" applyFill="1" applyBorder="1" applyAlignment="1">
      <alignment horizontal="center" vertical="top"/>
    </xf>
    <xf numFmtId="3" fontId="0" fillId="0" borderId="13" xfId="0" applyNumberFormat="1" applyFill="1" applyBorder="1" applyAlignment="1">
      <alignment horizontal="center" vertical="top"/>
    </xf>
    <xf numFmtId="4" fontId="80" fillId="0" borderId="25" xfId="0" applyNumberFormat="1" applyFont="1" applyFill="1" applyBorder="1" applyAlignment="1">
      <alignment horizontal="center" vertical="top"/>
    </xf>
    <xf numFmtId="4" fontId="80" fillId="0" borderId="13" xfId="0" applyNumberFormat="1" applyFont="1" applyFill="1" applyBorder="1" applyAlignment="1">
      <alignment horizontal="center" vertical="top"/>
    </xf>
    <xf numFmtId="4" fontId="80" fillId="0" borderId="85" xfId="0" applyNumberFormat="1" applyFont="1" applyFill="1" applyBorder="1" applyAlignment="1">
      <alignment horizontal="center" vertical="top"/>
    </xf>
    <xf numFmtId="3" fontId="80" fillId="0" borderId="25" xfId="0" applyNumberFormat="1" applyFont="1" applyFill="1" applyBorder="1" applyAlignment="1">
      <alignment horizontal="center" vertical="top"/>
    </xf>
    <xf numFmtId="3" fontId="80" fillId="0" borderId="13" xfId="0" applyNumberFormat="1" applyFont="1" applyFill="1" applyBorder="1" applyAlignment="1">
      <alignment horizontal="center" vertical="top"/>
    </xf>
    <xf numFmtId="3" fontId="1" fillId="32" borderId="0" xfId="0" applyNumberFormat="1" applyFont="1" applyFill="1" applyAlignment="1">
      <alignment horizontal="center" vertical="center"/>
    </xf>
    <xf numFmtId="0" fontId="38" fillId="0" borderId="0" xfId="60" applyFont="1">
      <alignment/>
      <protection/>
    </xf>
    <xf numFmtId="2" fontId="6" fillId="0" borderId="0" xfId="60" applyNumberFormat="1">
      <alignment/>
      <protection/>
    </xf>
    <xf numFmtId="0" fontId="16" fillId="0" borderId="0" xfId="60" applyFont="1" applyAlignment="1">
      <alignment horizontal="center" vertical="center"/>
      <protection/>
    </xf>
    <xf numFmtId="0" fontId="16" fillId="0" borderId="0" xfId="60" applyFont="1" applyAlignment="1">
      <alignment horizontal="right" vertical="top"/>
      <protection/>
    </xf>
    <xf numFmtId="0" fontId="16" fillId="0" borderId="0" xfId="60" applyFont="1" applyAlignment="1">
      <alignment horizontal="right" vertical="center"/>
      <protection/>
    </xf>
    <xf numFmtId="49" fontId="39" fillId="32" borderId="0" xfId="0" applyNumberFormat="1" applyFont="1" applyFill="1" applyAlignment="1">
      <alignment/>
    </xf>
    <xf numFmtId="0" fontId="11" fillId="32" borderId="0" xfId="0" applyFont="1" applyFill="1" applyBorder="1" applyAlignment="1">
      <alignment horizontal="left"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60" applyFont="1">
      <alignment/>
      <protection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1" fillId="32" borderId="0" xfId="60" applyFont="1" applyFill="1">
      <alignment/>
      <protection/>
    </xf>
    <xf numFmtId="0" fontId="11" fillId="0" borderId="0" xfId="60" applyFont="1" applyBorder="1">
      <alignment/>
      <protection/>
    </xf>
    <xf numFmtId="0" fontId="11" fillId="32" borderId="0" xfId="0" applyFont="1" applyFill="1" applyBorder="1" applyAlignment="1">
      <alignment/>
    </xf>
    <xf numFmtId="49" fontId="11" fillId="32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60" applyBorder="1">
      <alignment/>
      <protection/>
    </xf>
    <xf numFmtId="4" fontId="81" fillId="38" borderId="0" xfId="0" applyNumberFormat="1" applyFont="1" applyFill="1" applyAlignment="1">
      <alignment/>
    </xf>
    <xf numFmtId="4" fontId="82" fillId="32" borderId="0" xfId="0" applyNumberFormat="1" applyFont="1" applyFill="1" applyAlignment="1">
      <alignment/>
    </xf>
    <xf numFmtId="4" fontId="82" fillId="32" borderId="0" xfId="0" applyNumberFormat="1" applyFont="1" applyFill="1" applyAlignment="1">
      <alignment vertical="center"/>
    </xf>
    <xf numFmtId="3" fontId="80" fillId="0" borderId="24" xfId="0" applyNumberFormat="1" applyFont="1" applyFill="1" applyBorder="1" applyAlignment="1">
      <alignment horizontal="center" vertical="top"/>
    </xf>
    <xf numFmtId="3" fontId="80" fillId="0" borderId="14" xfId="0" applyNumberFormat="1" applyFont="1" applyFill="1" applyBorder="1" applyAlignment="1">
      <alignment horizontal="center" vertical="top"/>
    </xf>
    <xf numFmtId="4" fontId="80" fillId="0" borderId="24" xfId="0" applyNumberFormat="1" applyFont="1" applyFill="1" applyBorder="1" applyAlignment="1">
      <alignment horizontal="center" vertical="top"/>
    </xf>
    <xf numFmtId="4" fontId="80" fillId="0" borderId="14" xfId="0" applyNumberFormat="1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43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32" borderId="23" xfId="0" applyNumberFormat="1" applyFont="1" applyFill="1" applyBorder="1" applyAlignment="1">
      <alignment horizontal="center" vertical="center" wrapText="1"/>
    </xf>
    <xf numFmtId="3" fontId="1" fillId="32" borderId="85" xfId="0" applyNumberFormat="1" applyFont="1" applyFill="1" applyBorder="1" applyAlignment="1">
      <alignment horizontal="center" vertical="center" wrapText="1"/>
    </xf>
    <xf numFmtId="3" fontId="1" fillId="32" borderId="84" xfId="0" applyNumberFormat="1" applyFont="1" applyFill="1" applyBorder="1" applyAlignment="1">
      <alignment horizontal="center" vertical="center" wrapText="1"/>
    </xf>
    <xf numFmtId="3" fontId="1" fillId="32" borderId="86" xfId="0" applyNumberFormat="1" applyFont="1" applyFill="1" applyBorder="1" applyAlignment="1">
      <alignment horizontal="center" vertical="center" wrapText="1"/>
    </xf>
    <xf numFmtId="3" fontId="1" fillId="32" borderId="87" xfId="0" applyNumberFormat="1" applyFont="1" applyFill="1" applyBorder="1" applyAlignment="1">
      <alignment horizontal="center" vertical="center" wrapText="1"/>
    </xf>
    <xf numFmtId="3" fontId="1" fillId="32" borderId="88" xfId="0" applyNumberFormat="1" applyFont="1" applyFill="1" applyBorder="1" applyAlignment="1">
      <alignment horizontal="center" vertical="center" wrapText="1"/>
    </xf>
    <xf numFmtId="3" fontId="1" fillId="32" borderId="64" xfId="0" applyNumberFormat="1" applyFont="1" applyFill="1" applyBorder="1" applyAlignment="1">
      <alignment horizontal="center" vertical="center" wrapText="1"/>
    </xf>
    <xf numFmtId="3" fontId="1" fillId="32" borderId="89" xfId="0" applyNumberFormat="1" applyFont="1" applyFill="1" applyBorder="1" applyAlignment="1">
      <alignment horizontal="center" vertical="center" wrapText="1"/>
    </xf>
    <xf numFmtId="3" fontId="1" fillId="32" borderId="47" xfId="0" applyNumberFormat="1" applyFont="1" applyFill="1" applyBorder="1" applyAlignment="1">
      <alignment horizontal="center" vertical="center" wrapText="1"/>
    </xf>
    <xf numFmtId="3" fontId="1" fillId="32" borderId="90" xfId="0" applyNumberFormat="1" applyFont="1" applyFill="1" applyBorder="1" applyAlignment="1">
      <alignment horizontal="center" vertical="center" wrapText="1"/>
    </xf>
    <xf numFmtId="3" fontId="1" fillId="32" borderId="91" xfId="0" applyNumberFormat="1" applyFont="1" applyFill="1" applyBorder="1" applyAlignment="1">
      <alignment horizontal="center" vertical="center" wrapText="1"/>
    </xf>
    <xf numFmtId="3" fontId="1" fillId="32" borderId="92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77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4" fontId="1" fillId="32" borderId="47" xfId="0" applyNumberFormat="1" applyFont="1" applyFill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6" fillId="0" borderId="0" xfId="59" applyFont="1" applyFill="1" applyAlignment="1">
      <alignment horizontal="right" vertical="center" wrapText="1"/>
      <protection/>
    </xf>
    <xf numFmtId="0" fontId="1" fillId="0" borderId="9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32" borderId="97" xfId="0" applyFont="1" applyFill="1" applyBorder="1" applyAlignment="1">
      <alignment horizontal="center" vertical="center" wrapText="1"/>
    </xf>
    <xf numFmtId="0" fontId="1" fillId="32" borderId="98" xfId="0" applyFont="1" applyFill="1" applyBorder="1" applyAlignment="1">
      <alignment horizontal="center" vertical="center" wrapText="1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5" fillId="0" borderId="0" xfId="59" applyFont="1" applyFill="1" applyAlignment="1">
      <alignment horizontal="right" vertical="center" wrapText="1"/>
      <protection/>
    </xf>
    <xf numFmtId="4" fontId="2" fillId="32" borderId="23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4" fontId="2" fillId="32" borderId="40" xfId="0" applyNumberFormat="1" applyFont="1" applyFill="1" applyBorder="1" applyAlignment="1">
      <alignment horizontal="center" vertical="center" wrapText="1"/>
    </xf>
    <xf numFmtId="0" fontId="1" fillId="32" borderId="93" xfId="0" applyFont="1" applyFill="1" applyBorder="1" applyAlignment="1">
      <alignment horizontal="center" vertical="center" wrapText="1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60" applyFont="1" applyAlignment="1">
      <alignment horizontal="left" wrapText="1"/>
      <protection/>
    </xf>
    <xf numFmtId="0" fontId="0" fillId="0" borderId="0" xfId="0" applyAlignment="1">
      <alignment wrapText="1"/>
    </xf>
    <xf numFmtId="0" fontId="1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0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4" fontId="1" fillId="32" borderId="38" xfId="0" applyNumberFormat="1" applyFont="1" applyFill="1" applyBorder="1" applyAlignment="1">
      <alignment horizontal="center" vertical="center" wrapText="1"/>
    </xf>
    <xf numFmtId="0" fontId="2" fillId="0" borderId="0" xfId="60" applyFont="1" applyAlignment="1">
      <alignment horizontal="center" vertical="center" wrapText="1"/>
      <protection/>
    </xf>
    <xf numFmtId="0" fontId="2" fillId="0" borderId="0" xfId="60" applyFont="1" applyAlignment="1">
      <alignment horizontal="left" vertical="top" wrapText="1"/>
      <protection/>
    </xf>
    <xf numFmtId="0" fontId="11" fillId="0" borderId="0" xfId="60" applyFont="1" applyAlignment="1">
      <alignment horizontal="left"/>
      <protection/>
    </xf>
    <xf numFmtId="0" fontId="11" fillId="32" borderId="0" xfId="0" applyFont="1" applyFill="1" applyBorder="1" applyAlignment="1">
      <alignment horizontal="left" wrapText="1"/>
    </xf>
    <xf numFmtId="0" fontId="2" fillId="0" borderId="0" xfId="59" applyFont="1" applyFill="1" applyAlignment="1">
      <alignment horizontal="right" vertical="center" wrapText="1"/>
      <protection/>
    </xf>
    <xf numFmtId="0" fontId="19" fillId="0" borderId="0" xfId="0" applyFont="1" applyBorder="1" applyAlignment="1">
      <alignment horizontal="center" wrapText="1"/>
    </xf>
    <xf numFmtId="0" fontId="37" fillId="0" borderId="0" xfId="60" applyFont="1" applyFill="1" applyAlignment="1">
      <alignment horizontal="center" wrapText="1"/>
      <protection/>
    </xf>
    <xf numFmtId="0" fontId="20" fillId="0" borderId="0" xfId="60" applyFont="1" applyFill="1" applyAlignment="1">
      <alignment horizontal="center" wrapText="1"/>
      <protection/>
    </xf>
    <xf numFmtId="0" fontId="11" fillId="0" borderId="72" xfId="60" applyFont="1" applyFill="1" applyBorder="1" applyAlignment="1">
      <alignment horizontal="center" vertical="center" wrapText="1"/>
      <protection/>
    </xf>
    <xf numFmtId="0" fontId="11" fillId="0" borderId="49" xfId="6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/>
    </xf>
    <xf numFmtId="0" fontId="4" fillId="0" borderId="95" xfId="63" applyFont="1" applyBorder="1" applyAlignment="1">
      <alignment horizontal="center" vertical="center" wrapText="1"/>
      <protection/>
    </xf>
    <xf numFmtId="0" fontId="4" fillId="0" borderId="42" xfId="63" applyFont="1" applyBorder="1" applyAlignment="1">
      <alignment horizontal="center" vertical="center" wrapText="1"/>
      <protection/>
    </xf>
    <xf numFmtId="0" fontId="20" fillId="0" borderId="0" xfId="60" applyFont="1" applyFill="1" applyAlignment="1">
      <alignment horizontal="center" vertical="center" wrapText="1"/>
      <protection/>
    </xf>
    <xf numFmtId="0" fontId="4" fillId="0" borderId="96" xfId="63" applyFont="1" applyBorder="1" applyAlignment="1">
      <alignment horizontal="center" vertical="center" wrapText="1"/>
      <protection/>
    </xf>
    <xf numFmtId="0" fontId="4" fillId="0" borderId="93" xfId="63" applyFont="1" applyBorder="1" applyAlignment="1">
      <alignment horizontal="center" vertical="center" wrapText="1"/>
      <protection/>
    </xf>
    <xf numFmtId="0" fontId="4" fillId="0" borderId="102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0" fontId="36" fillId="32" borderId="0" xfId="0" applyFont="1" applyFill="1" applyAlignment="1">
      <alignment horizontal="right"/>
    </xf>
    <xf numFmtId="0" fontId="32" fillId="32" borderId="0" xfId="61" applyFont="1" applyFill="1" applyBorder="1" applyAlignment="1">
      <alignment horizontal="left" vertical="center" wrapText="1"/>
      <protection/>
    </xf>
    <xf numFmtId="0" fontId="32" fillId="32" borderId="0" xfId="61" applyFont="1" applyFill="1" applyBorder="1" applyAlignment="1">
      <alignment horizontal="right" vertical="center" wrapText="1"/>
      <protection/>
    </xf>
    <xf numFmtId="0" fontId="32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/>
    </xf>
    <xf numFmtId="0" fontId="35" fillId="32" borderId="0" xfId="0" applyFont="1" applyFill="1" applyBorder="1" applyAlignment="1">
      <alignment horizontal="left" wrapText="1"/>
    </xf>
    <xf numFmtId="2" fontId="6" fillId="32" borderId="13" xfId="0" applyNumberFormat="1" applyFont="1" applyFill="1" applyBorder="1" applyAlignment="1">
      <alignment horizontal="left" vertical="center" wrapText="1"/>
    </xf>
    <xf numFmtId="0" fontId="26" fillId="32" borderId="0" xfId="0" applyFont="1" applyFill="1" applyAlignment="1">
      <alignment horizontal="left" vertical="center" wrapText="1"/>
    </xf>
    <xf numFmtId="0" fontId="31" fillId="32" borderId="0" xfId="61" applyFont="1" applyFill="1" applyBorder="1" applyAlignment="1">
      <alignment horizontal="right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4" fillId="32" borderId="0" xfId="59" applyFont="1" applyFill="1" applyAlignment="1">
      <alignment horizontal="right" vertical="center" wrapText="1"/>
      <protection/>
    </xf>
    <xf numFmtId="0" fontId="2" fillId="32" borderId="0" xfId="59" applyFont="1" applyFill="1" applyAlignment="1">
      <alignment horizontal="center" vertical="center" wrapText="1"/>
      <protection/>
    </xf>
    <xf numFmtId="0" fontId="22" fillId="32" borderId="0" xfId="0" applyFont="1" applyFill="1" applyBorder="1" applyAlignment="1">
      <alignment horizontal="center" vertical="center" wrapText="1"/>
    </xf>
    <xf numFmtId="0" fontId="20" fillId="32" borderId="0" xfId="60" applyFont="1" applyFill="1" applyAlignment="1">
      <alignment horizontal="center" wrapText="1"/>
      <protection/>
    </xf>
    <xf numFmtId="0" fontId="23" fillId="32" borderId="13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left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85" xfId="0" applyFont="1" applyFill="1" applyBorder="1" applyAlignment="1">
      <alignment horizontal="center" vertical="center" wrapText="1"/>
    </xf>
    <xf numFmtId="0" fontId="1" fillId="32" borderId="84" xfId="0" applyFon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top"/>
    </xf>
    <xf numFmtId="3" fontId="0" fillId="0" borderId="14" xfId="0" applyNumberFormat="1" applyFill="1" applyBorder="1" applyAlignment="1">
      <alignment horizontal="center" vertical="top"/>
    </xf>
    <xf numFmtId="4" fontId="0" fillId="0" borderId="24" xfId="0" applyNumberFormat="1" applyFill="1" applyBorder="1" applyAlignment="1">
      <alignment horizontal="center" vertical="top"/>
    </xf>
    <xf numFmtId="4" fontId="0" fillId="0" borderId="14" xfId="0" applyNumberFormat="1" applyFill="1" applyBorder="1" applyAlignment="1">
      <alignment horizontal="center" vertical="top"/>
    </xf>
    <xf numFmtId="3" fontId="80" fillId="0" borderId="24" xfId="0" applyNumberFormat="1" applyFont="1" applyFill="1" applyBorder="1" applyAlignment="1">
      <alignment horizontal="center" vertical="top"/>
    </xf>
    <xf numFmtId="3" fontId="80" fillId="0" borderId="14" xfId="0" applyNumberFormat="1" applyFont="1" applyFill="1" applyBorder="1" applyAlignment="1">
      <alignment horizontal="center" vertical="top"/>
    </xf>
    <xf numFmtId="4" fontId="80" fillId="0" borderId="24" xfId="0" applyNumberFormat="1" applyFont="1" applyFill="1" applyBorder="1" applyAlignment="1">
      <alignment horizontal="center" vertical="top"/>
    </xf>
    <xf numFmtId="4" fontId="80" fillId="0" borderId="14" xfId="0" applyNumberFormat="1" applyFont="1" applyFill="1" applyBorder="1" applyAlignment="1">
      <alignment horizontal="center" vertical="top"/>
    </xf>
  </cellXfs>
  <cellStyles count="66">
    <cellStyle name="Normal" xfId="0"/>
    <cellStyle name="_!!! отчетные Форматы минэнерго к ИП 2011 (1.11.10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Обычный_Приложение 1" xfId="60"/>
    <cellStyle name="Обычный_Приложение 1 2" xfId="61"/>
    <cellStyle name="Обычный_Приложение 8 (выпадающие)_на 2011 год_13 08 10 2" xfId="62"/>
    <cellStyle name="Обычный_Смета  по методике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3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ормула_GRES.2007.5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_4-12%20(06.10.201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_4-12%20(19.10.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Приложение 5 (НВВ) "/>
      <sheetName val="Приложение 5 (НВВ) без льгот."/>
      <sheetName val="Приложение 6 (кальк) "/>
      <sheetName val="Таблица 7 .1"/>
      <sheetName val="Таблица 7.2"/>
      <sheetName val="Таблица 7.3 Подг ТУ"/>
      <sheetName val="Таблица 7.4 Выполнение ТУ"/>
      <sheetName val="Таблица 7.5 Ростехнадзор"/>
      <sheetName val="Таблица 7.6 факт присоед"/>
      <sheetName val="Таблица 7.7 прям"/>
      <sheetName val="Таблица 7.8 косв"/>
      <sheetName val="Приложение 8 инвест за 3 года "/>
      <sheetName val="Приложение 9 СТС (ставки платы)"/>
      <sheetName val="Приложение 9 СТС"/>
      <sheetName val="Расчет Удельных прил.9.1. "/>
      <sheetName val="Прил. 10.1. Выпадающие до 15"/>
      <sheetName val="10.1.1."/>
      <sheetName val="10.1.2."/>
      <sheetName val="Прил.10.2. от 15 до 150 "/>
      <sheetName val="Прил.10.3."/>
      <sheetName val="Прил.11 АНАЛИЗ"/>
      <sheetName val="Прил.12 Анализ производства"/>
      <sheetName val="Калькуляции"/>
      <sheetName val="Себ.+26 счет"/>
      <sheetName val="Управленч.2015"/>
      <sheetName val="Сч.23,25,26"/>
      <sheetName val="Когнос"/>
      <sheetName val="Прочие ДиР"/>
      <sheetName val="ПДР (расшиф)"/>
      <sheetName val="Управл"/>
      <sheetName val="Прочие"/>
      <sheetName val="До 15 кВт"/>
      <sheetName val="Транспортные"/>
      <sheetName val="ВЛ"/>
      <sheetName val="КЛ"/>
      <sheetName val="КТП, ПС"/>
    </sheetNames>
    <sheetDataSet>
      <sheetData sheetId="0">
        <row r="337">
          <cell r="B337">
            <v>4011</v>
          </cell>
          <cell r="C337">
            <v>33957.39</v>
          </cell>
        </row>
        <row r="357">
          <cell r="B357">
            <v>4766</v>
          </cell>
          <cell r="C357">
            <v>72509.676</v>
          </cell>
        </row>
        <row r="358">
          <cell r="B358">
            <v>755</v>
          </cell>
          <cell r="C358">
            <v>38552.286</v>
          </cell>
        </row>
      </sheetData>
      <sheetData sheetId="4">
        <row r="19">
          <cell r="Q19">
            <v>97257169.86633992</v>
          </cell>
          <cell r="R19">
            <v>12633005.609664198</v>
          </cell>
          <cell r="S19">
            <v>2705186.701358889</v>
          </cell>
          <cell r="T19">
            <v>241185.9453394686</v>
          </cell>
          <cell r="U19">
            <v>4138868.8256096253</v>
          </cell>
          <cell r="V19">
            <v>2776107.381040474</v>
          </cell>
          <cell r="W19">
            <v>1250317.301952055</v>
          </cell>
          <cell r="X19">
            <v>689600.6326319107</v>
          </cell>
          <cell r="Y19">
            <v>138172.90063132215</v>
          </cell>
          <cell r="Z19">
            <v>184936.11004522213</v>
          </cell>
          <cell r="AA19">
            <v>186958.30288474212</v>
          </cell>
        </row>
      </sheetData>
      <sheetData sheetId="14">
        <row r="36">
          <cell r="R36">
            <v>407130</v>
          </cell>
        </row>
        <row r="39">
          <cell r="R39">
            <v>471870</v>
          </cell>
          <cell r="S39">
            <v>441570</v>
          </cell>
        </row>
        <row r="42">
          <cell r="R42">
            <v>547320</v>
          </cell>
          <cell r="S42">
            <v>564700</v>
          </cell>
        </row>
        <row r="45">
          <cell r="S45">
            <v>588000</v>
          </cell>
        </row>
        <row r="51">
          <cell r="R51">
            <v>574380</v>
          </cell>
        </row>
        <row r="53">
          <cell r="R53">
            <v>556090</v>
          </cell>
          <cell r="S53">
            <v>775060</v>
          </cell>
        </row>
        <row r="56">
          <cell r="R56">
            <v>622300</v>
          </cell>
          <cell r="Y56">
            <v>862530</v>
          </cell>
        </row>
        <row r="58">
          <cell r="R58">
            <v>569240</v>
          </cell>
          <cell r="S58">
            <v>786960</v>
          </cell>
        </row>
        <row r="61">
          <cell r="R61">
            <v>803080</v>
          </cell>
          <cell r="S61">
            <v>1114520</v>
          </cell>
        </row>
        <row r="63">
          <cell r="R63">
            <v>684730</v>
          </cell>
          <cell r="S63">
            <v>1077070</v>
          </cell>
        </row>
        <row r="66">
          <cell r="S66">
            <v>1388980</v>
          </cell>
        </row>
        <row r="68">
          <cell r="S68">
            <v>1300970</v>
          </cell>
        </row>
        <row r="76">
          <cell r="R76">
            <v>5645.699335004905</v>
          </cell>
        </row>
        <row r="77">
          <cell r="R77">
            <v>1109.2906475114073</v>
          </cell>
        </row>
        <row r="80">
          <cell r="R80">
            <v>13272.096295668389</v>
          </cell>
        </row>
        <row r="81">
          <cell r="R81">
            <v>2752.139900833405</v>
          </cell>
        </row>
        <row r="82">
          <cell r="R82">
            <v>2403.2084935846847</v>
          </cell>
        </row>
        <row r="83">
          <cell r="R83">
            <v>1184.8224582701064</v>
          </cell>
        </row>
      </sheetData>
      <sheetData sheetId="16">
        <row r="18">
          <cell r="N18">
            <v>4.31</v>
          </cell>
        </row>
        <row r="19">
          <cell r="N19">
            <v>4.29</v>
          </cell>
        </row>
        <row r="22">
          <cell r="N22">
            <v>4.29</v>
          </cell>
        </row>
        <row r="25">
          <cell r="N25">
            <v>4.83</v>
          </cell>
        </row>
        <row r="26">
          <cell r="N26">
            <v>5.39</v>
          </cell>
        </row>
        <row r="29">
          <cell r="N29">
            <v>5.39</v>
          </cell>
        </row>
        <row r="31">
          <cell r="N31">
            <v>6.71</v>
          </cell>
        </row>
        <row r="32">
          <cell r="N32">
            <v>6.71</v>
          </cell>
        </row>
        <row r="34">
          <cell r="N34">
            <v>6.71</v>
          </cell>
        </row>
        <row r="35">
          <cell r="N35">
            <v>6.71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Приложение 5 (НВВ) "/>
      <sheetName val="Приложение 5 (НВВ) без льгот."/>
      <sheetName val="Приложение 6 (кальк) "/>
      <sheetName val="Таблица 7 .1"/>
      <sheetName val="Таблица 7.2"/>
      <sheetName val="Таблица 7.3 Подг ТУ"/>
      <sheetName val="Таблица 7.4 Выполнение ТУ"/>
      <sheetName val="Таблица 7.5 Ростехнадзор"/>
      <sheetName val="Таблица 7.6 факт присоед"/>
      <sheetName val="Таблица 7.7 прям"/>
      <sheetName val="Таблица 7.8 косв"/>
      <sheetName val="Приложение 8 инвест за 3 года "/>
      <sheetName val="Приложение 9 СТС (ставки платы)"/>
      <sheetName val="Приложение 9 СТС"/>
      <sheetName val="Расчет Удельных прил.9.1. "/>
      <sheetName val="Прил. 10.1. Выпадающие до 15"/>
      <sheetName val="10.1.1."/>
      <sheetName val="10.1.2."/>
      <sheetName val="Прил.10.2. от 15 до 150 "/>
      <sheetName val="Прил.10.3."/>
      <sheetName val="Прил.11 АНАЛИЗ"/>
      <sheetName val="Прил.12 Анализ производства"/>
      <sheetName val="Калькуляции"/>
      <sheetName val="Себ.+26 счет"/>
      <sheetName val="Управленч.2015"/>
      <sheetName val="Сч.23,25,26"/>
      <sheetName val="Когнос"/>
      <sheetName val="Прочие ДиР"/>
      <sheetName val="ПДР (расшиф)"/>
      <sheetName val="Управл"/>
      <sheetName val="Прочие"/>
      <sheetName val="До 15 кВт"/>
      <sheetName val="Транспортные"/>
      <sheetName val="ВЛ"/>
      <sheetName val="КЛ"/>
      <sheetName val="КТП, ПС"/>
    </sheetNames>
    <sheetDataSet>
      <sheetData sheetId="0">
        <row r="337">
          <cell r="B337">
            <v>4011</v>
          </cell>
        </row>
        <row r="340">
          <cell r="C340">
            <v>2949.25</v>
          </cell>
        </row>
        <row r="344">
          <cell r="C344">
            <v>4400.93</v>
          </cell>
        </row>
        <row r="346">
          <cell r="C346">
            <v>6239.75</v>
          </cell>
        </row>
        <row r="349">
          <cell r="C349">
            <v>1496.93</v>
          </cell>
        </row>
        <row r="350">
          <cell r="C350">
            <v>10220.426</v>
          </cell>
        </row>
        <row r="351">
          <cell r="C351">
            <v>2690</v>
          </cell>
        </row>
        <row r="352">
          <cell r="C352">
            <v>670</v>
          </cell>
        </row>
        <row r="354">
          <cell r="C354">
            <v>7585</v>
          </cell>
        </row>
        <row r="355">
          <cell r="C355">
            <v>800</v>
          </cell>
        </row>
        <row r="356">
          <cell r="C356">
            <v>1500</v>
          </cell>
        </row>
      </sheetData>
      <sheetData sheetId="4">
        <row r="15">
          <cell r="R15">
            <v>3505553.9997590655</v>
          </cell>
          <cell r="S15">
            <v>758554.2770935481</v>
          </cell>
          <cell r="T15">
            <v>82716.28557252046</v>
          </cell>
          <cell r="U15">
            <v>1866779.307874441</v>
          </cell>
          <cell r="V15">
            <v>1546356.4816425669</v>
          </cell>
          <cell r="W15">
            <v>683064.6436812106</v>
          </cell>
          <cell r="X15">
            <v>264198.23404325044</v>
          </cell>
          <cell r="Y15">
            <v>53092.420913590075</v>
          </cell>
          <cell r="Z15">
            <v>99855.63032749009</v>
          </cell>
          <cell r="AA15">
            <v>101877.82316701008</v>
          </cell>
        </row>
        <row r="16">
          <cell r="P16">
            <v>41261988.9302425</v>
          </cell>
          <cell r="Q16">
            <v>36518499.02895028</v>
          </cell>
          <cell r="S16">
            <v>846924.1041805719</v>
          </cell>
          <cell r="T16">
            <v>60876.60290570444</v>
          </cell>
          <cell r="U16">
            <v>800881.4621634485</v>
          </cell>
          <cell r="V16">
            <v>422168.9273324108</v>
          </cell>
          <cell r="W16">
            <v>414466.8797719666</v>
          </cell>
          <cell r="X16">
            <v>296047.77126569045</v>
          </cell>
          <cell r="Y16">
            <v>59209.554253138085</v>
          </cell>
          <cell r="Z16">
            <v>59209.554253138085</v>
          </cell>
          <cell r="AA16">
            <v>59209.554253138085</v>
          </cell>
        </row>
        <row r="17">
          <cell r="T17">
            <v>27813.749979552464</v>
          </cell>
          <cell r="V17">
            <v>171518.1248739068</v>
          </cell>
          <cell r="W17">
            <v>32449.374976144532</v>
          </cell>
          <cell r="X17">
            <v>23178.124982960384</v>
          </cell>
          <cell r="Y17">
            <v>4635.624996592077</v>
          </cell>
          <cell r="Z17">
            <v>4635.624996592077</v>
          </cell>
          <cell r="AA17">
            <v>4635.624996592077</v>
          </cell>
        </row>
        <row r="18">
          <cell r="P18">
            <v>38134576.70524706</v>
          </cell>
          <cell r="Q18">
            <v>33750614.99663415</v>
          </cell>
          <cell r="S18">
            <v>1099708.3200847695</v>
          </cell>
          <cell r="T18">
            <v>69779.30688169124</v>
          </cell>
          <cell r="U18">
            <v>1471208.0555717356</v>
          </cell>
          <cell r="V18">
            <v>636063.8471915894</v>
          </cell>
          <cell r="W18">
            <v>120336.40352273313</v>
          </cell>
          <cell r="X18">
            <v>106176.50234000939</v>
          </cell>
          <cell r="Y18">
            <v>21235.30046800188</v>
          </cell>
          <cell r="Z18">
            <v>21235.30046800188</v>
          </cell>
          <cell r="AA18">
            <v>21235.30046800188</v>
          </cell>
        </row>
      </sheetData>
      <sheetData sheetId="12">
        <row r="32">
          <cell r="AN32">
            <v>441013.39425</v>
          </cell>
        </row>
        <row r="35">
          <cell r="AO35">
            <v>165380.02284375002</v>
          </cell>
        </row>
        <row r="45">
          <cell r="AH45">
            <v>142.4</v>
          </cell>
          <cell r="AN45">
            <v>433204.9722</v>
          </cell>
          <cell r="AO45">
            <v>162451.864575</v>
          </cell>
        </row>
        <row r="50">
          <cell r="AH50">
            <v>729</v>
          </cell>
          <cell r="AN50">
            <v>64921653.518928535</v>
          </cell>
          <cell r="AO50">
            <v>24345620.0695982</v>
          </cell>
        </row>
        <row r="55">
          <cell r="V55">
            <v>414</v>
          </cell>
          <cell r="Z55">
            <v>376.8</v>
          </cell>
          <cell r="AH55">
            <v>142.4</v>
          </cell>
          <cell r="AN55">
            <v>10311897.7962</v>
          </cell>
          <cell r="AO55">
            <v>3866961.673575</v>
          </cell>
        </row>
        <row r="58">
          <cell r="AD58">
            <v>0</v>
          </cell>
          <cell r="AH58">
            <v>0</v>
          </cell>
          <cell r="AN58">
            <v>0</v>
          </cell>
        </row>
        <row r="60">
          <cell r="Z60">
            <v>1459.6</v>
          </cell>
          <cell r="AH60">
            <v>0</v>
          </cell>
          <cell r="AN60">
            <v>26954227.0090107</v>
          </cell>
          <cell r="AO60">
            <v>10107835.128379012</v>
          </cell>
        </row>
        <row r="62">
          <cell r="AN62">
            <v>1579875.6402000003</v>
          </cell>
        </row>
        <row r="63">
          <cell r="AO63">
            <v>592453.3650750001</v>
          </cell>
        </row>
        <row r="65">
          <cell r="V65">
            <v>0</v>
          </cell>
          <cell r="Z65">
            <v>284.8</v>
          </cell>
          <cell r="AD65">
            <v>0</v>
          </cell>
          <cell r="AH65">
            <v>340.87</v>
          </cell>
        </row>
        <row r="68">
          <cell r="Z68">
            <v>0</v>
          </cell>
          <cell r="AD68">
            <v>0</v>
          </cell>
          <cell r="AH68">
            <v>0</v>
          </cell>
          <cell r="AN68">
            <v>0</v>
          </cell>
        </row>
        <row r="69">
          <cell r="Z69">
            <v>0</v>
          </cell>
          <cell r="AH69">
            <v>0</v>
          </cell>
          <cell r="AN69">
            <v>0</v>
          </cell>
        </row>
        <row r="70">
          <cell r="AN70">
            <v>0</v>
          </cell>
        </row>
        <row r="75">
          <cell r="V75">
            <v>0</v>
          </cell>
          <cell r="Z75">
            <v>0</v>
          </cell>
          <cell r="AH75">
            <v>0</v>
          </cell>
          <cell r="AN75">
            <v>896937.0695999999</v>
          </cell>
        </row>
        <row r="78">
          <cell r="V78">
            <v>0</v>
          </cell>
          <cell r="AD78">
            <v>0</v>
          </cell>
          <cell r="AH78">
            <v>0</v>
          </cell>
          <cell r="AN78">
            <v>7344482.453</v>
          </cell>
        </row>
        <row r="80">
          <cell r="AH80">
            <v>0</v>
          </cell>
          <cell r="AN80">
            <v>0</v>
          </cell>
        </row>
        <row r="85">
          <cell r="V85">
            <v>0</v>
          </cell>
          <cell r="Z85">
            <v>2138.05</v>
          </cell>
          <cell r="AD85">
            <v>1076</v>
          </cell>
          <cell r="AH85">
            <v>890</v>
          </cell>
          <cell r="AN85">
            <v>24595070.857499998</v>
          </cell>
        </row>
        <row r="88">
          <cell r="V88">
            <v>0</v>
          </cell>
          <cell r="Z88">
            <v>0</v>
          </cell>
          <cell r="AD88">
            <v>0</v>
          </cell>
          <cell r="AH88">
            <v>0</v>
          </cell>
          <cell r="AN88">
            <v>5724131.5978</v>
          </cell>
        </row>
        <row r="89">
          <cell r="AD89">
            <v>450</v>
          </cell>
          <cell r="AH89">
            <v>1030</v>
          </cell>
          <cell r="AN89">
            <v>11016143.562306285</v>
          </cell>
        </row>
        <row r="90">
          <cell r="Z90">
            <v>4013.9</v>
          </cell>
          <cell r="AH90">
            <v>0</v>
          </cell>
          <cell r="AN90">
            <v>64726260.82080109</v>
          </cell>
        </row>
        <row r="115">
          <cell r="V115">
            <v>966</v>
          </cell>
          <cell r="Z115">
            <v>4450</v>
          </cell>
          <cell r="AD115">
            <v>0</v>
          </cell>
          <cell r="AH115">
            <v>0</v>
          </cell>
          <cell r="AN115">
            <v>81260459.28</v>
          </cell>
        </row>
        <row r="118">
          <cell r="Z118">
            <v>0</v>
          </cell>
          <cell r="AD118">
            <v>0</v>
          </cell>
          <cell r="AH118">
            <v>0</v>
          </cell>
          <cell r="AN118">
            <v>0</v>
          </cell>
        </row>
        <row r="130">
          <cell r="Z130">
            <v>5607</v>
          </cell>
          <cell r="AN130">
            <v>44576539.80282246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c@a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54"/>
  <sheetViews>
    <sheetView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384" t="s">
        <v>209</v>
      </c>
      <c r="G1" s="384"/>
      <c r="H1" s="384"/>
      <c r="I1" s="384"/>
    </row>
    <row r="2" spans="1:9" ht="31.5" customHeight="1">
      <c r="A2" s="2"/>
      <c r="B2" s="2"/>
      <c r="C2" s="2"/>
      <c r="D2" s="2"/>
      <c r="E2" s="2"/>
      <c r="F2" s="381" t="s">
        <v>96</v>
      </c>
      <c r="G2" s="381"/>
      <c r="H2" s="381"/>
      <c r="I2" s="38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382" t="s">
        <v>97</v>
      </c>
      <c r="B6" s="382"/>
      <c r="C6" s="382"/>
      <c r="D6" s="382"/>
      <c r="E6" s="382"/>
      <c r="F6" s="382"/>
      <c r="G6" s="382"/>
      <c r="H6" s="382"/>
      <c r="I6" s="382"/>
    </row>
    <row r="7" spans="1:9" ht="18.75">
      <c r="A7" s="382" t="s">
        <v>98</v>
      </c>
      <c r="B7" s="382"/>
      <c r="C7" s="382"/>
      <c r="D7" s="382"/>
      <c r="E7" s="382"/>
      <c r="F7" s="382"/>
      <c r="G7" s="382"/>
      <c r="H7" s="382"/>
      <c r="I7" s="382"/>
    </row>
    <row r="8" spans="1:9" ht="18.75" customHeight="1">
      <c r="A8" s="383" t="s">
        <v>218</v>
      </c>
      <c r="B8" s="383"/>
      <c r="C8" s="383"/>
      <c r="D8" s="383"/>
      <c r="E8" s="383"/>
      <c r="F8" s="383"/>
      <c r="G8" s="383"/>
      <c r="H8" s="383"/>
      <c r="I8" s="383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58" t="s">
        <v>99</v>
      </c>
      <c r="B11" s="56"/>
      <c r="C11" s="56"/>
      <c r="D11" s="57"/>
      <c r="E11" s="378" t="s">
        <v>219</v>
      </c>
      <c r="F11" s="378"/>
      <c r="G11" s="378"/>
      <c r="H11" s="378"/>
      <c r="I11" s="378"/>
    </row>
    <row r="12" spans="1:9" ht="18.75">
      <c r="A12" s="5"/>
      <c r="B12" s="5"/>
      <c r="C12" s="5"/>
      <c r="D12" s="5"/>
      <c r="E12" s="23"/>
      <c r="F12" s="23"/>
      <c r="G12" s="23"/>
      <c r="H12" s="23"/>
      <c r="I12" s="23"/>
    </row>
    <row r="13" spans="1:9" ht="18.75">
      <c r="A13" s="56" t="s">
        <v>100</v>
      </c>
      <c r="B13" s="56"/>
      <c r="C13" s="56"/>
      <c r="D13" s="57"/>
      <c r="E13" s="376" t="s">
        <v>220</v>
      </c>
      <c r="F13" s="376"/>
      <c r="G13" s="376"/>
      <c r="H13" s="376"/>
      <c r="I13" s="376"/>
    </row>
    <row r="14" spans="1:9" ht="18.75">
      <c r="A14" s="5"/>
      <c r="B14" s="5"/>
      <c r="C14" s="5"/>
      <c r="D14" s="5"/>
      <c r="E14" s="23"/>
      <c r="F14" s="23"/>
      <c r="G14" s="23"/>
      <c r="H14" s="23"/>
      <c r="I14" s="23"/>
    </row>
    <row r="15" spans="1:9" ht="15.75">
      <c r="A15" s="377" t="s">
        <v>101</v>
      </c>
      <c r="B15" s="377"/>
      <c r="C15" s="377"/>
      <c r="D15" s="377"/>
      <c r="E15" s="376" t="s">
        <v>221</v>
      </c>
      <c r="F15" s="376"/>
      <c r="G15" s="376"/>
      <c r="H15" s="376"/>
      <c r="I15" s="376"/>
    </row>
    <row r="16" spans="1:9" ht="18.75">
      <c r="A16" s="5"/>
      <c r="B16" s="5"/>
      <c r="C16" s="5"/>
      <c r="D16" s="5"/>
      <c r="E16" s="23"/>
      <c r="F16" s="23"/>
      <c r="G16" s="23"/>
      <c r="H16" s="23"/>
      <c r="I16" s="23"/>
    </row>
    <row r="17" spans="1:9" ht="15.75">
      <c r="A17" s="377" t="s">
        <v>102</v>
      </c>
      <c r="B17" s="377"/>
      <c r="C17" s="377"/>
      <c r="D17" s="377"/>
      <c r="E17" s="376" t="s">
        <v>109</v>
      </c>
      <c r="F17" s="376"/>
      <c r="G17" s="376"/>
      <c r="H17" s="376"/>
      <c r="I17" s="376"/>
    </row>
    <row r="18" spans="1:10" ht="18.75">
      <c r="A18" s="5"/>
      <c r="B18" s="5"/>
      <c r="C18" s="5"/>
      <c r="D18" s="5"/>
      <c r="E18" s="23"/>
      <c r="F18" s="23"/>
      <c r="G18" s="23"/>
      <c r="H18" s="23"/>
      <c r="I18" s="23"/>
      <c r="J18" s="44"/>
    </row>
    <row r="19" spans="1:9" ht="15.75">
      <c r="A19" s="377" t="s">
        <v>103</v>
      </c>
      <c r="B19" s="377"/>
      <c r="C19" s="377"/>
      <c r="D19" s="377"/>
      <c r="E19" s="376">
        <v>6164266561</v>
      </c>
      <c r="F19" s="376"/>
      <c r="G19" s="376"/>
      <c r="H19" s="376"/>
      <c r="I19" s="376"/>
    </row>
    <row r="20" spans="1:9" ht="18.75">
      <c r="A20" s="5"/>
      <c r="B20" s="5"/>
      <c r="C20" s="5"/>
      <c r="D20" s="5"/>
      <c r="E20" s="23"/>
      <c r="F20" s="23"/>
      <c r="G20" s="23"/>
      <c r="H20" s="23"/>
      <c r="I20" s="23"/>
    </row>
    <row r="21" spans="1:9" ht="15.75">
      <c r="A21" s="377" t="s">
        <v>104</v>
      </c>
      <c r="B21" s="377"/>
      <c r="C21" s="377"/>
      <c r="D21" s="377"/>
      <c r="E21" s="376">
        <v>616401001</v>
      </c>
      <c r="F21" s="376"/>
      <c r="G21" s="376"/>
      <c r="H21" s="376"/>
      <c r="I21" s="376"/>
    </row>
    <row r="22" spans="1:9" ht="18.75">
      <c r="A22" s="5"/>
      <c r="B22" s="5"/>
      <c r="C22" s="5"/>
      <c r="D22" s="5"/>
      <c r="E22" s="23"/>
      <c r="F22" s="23"/>
      <c r="G22" s="23"/>
      <c r="H22" s="23"/>
      <c r="I22" s="23"/>
    </row>
    <row r="23" spans="1:9" ht="55.5" customHeight="1">
      <c r="A23" s="380" t="s">
        <v>105</v>
      </c>
      <c r="B23" s="380"/>
      <c r="C23" s="380"/>
      <c r="D23" s="380"/>
      <c r="E23" s="378" t="s">
        <v>224</v>
      </c>
      <c r="F23" s="378"/>
      <c r="G23" s="378"/>
      <c r="H23" s="378"/>
      <c r="I23" s="378"/>
    </row>
    <row r="24" spans="1:9" ht="18.75">
      <c r="A24" s="5"/>
      <c r="B24" s="5"/>
      <c r="C24" s="5"/>
      <c r="D24" s="5"/>
      <c r="E24" s="23"/>
      <c r="F24" s="23"/>
      <c r="G24" s="23"/>
      <c r="H24" s="23"/>
      <c r="I24" s="23"/>
    </row>
    <row r="25" spans="1:9" ht="15.75">
      <c r="A25" s="377" t="s">
        <v>106</v>
      </c>
      <c r="B25" s="377"/>
      <c r="C25" s="377"/>
      <c r="D25" s="377"/>
      <c r="E25" s="379" t="s">
        <v>222</v>
      </c>
      <c r="F25" s="376"/>
      <c r="G25" s="376"/>
      <c r="H25" s="376"/>
      <c r="I25" s="376"/>
    </row>
    <row r="26" spans="1:9" ht="18.75">
      <c r="A26" s="5"/>
      <c r="B26" s="5"/>
      <c r="C26" s="5"/>
      <c r="D26" s="5"/>
      <c r="E26" s="23"/>
      <c r="F26" s="23"/>
      <c r="G26" s="23"/>
      <c r="H26" s="23"/>
      <c r="I26" s="23"/>
    </row>
    <row r="27" spans="1:9" ht="45" customHeight="1">
      <c r="A27" s="380" t="s">
        <v>107</v>
      </c>
      <c r="B27" s="380"/>
      <c r="C27" s="380"/>
      <c r="D27" s="380"/>
      <c r="E27" s="375" t="s">
        <v>223</v>
      </c>
      <c r="F27" s="375"/>
      <c r="G27" s="375"/>
      <c r="H27" s="375"/>
      <c r="I27" s="375"/>
    </row>
    <row r="28" spans="1:9" ht="18.75">
      <c r="A28" s="5"/>
      <c r="B28" s="5"/>
      <c r="C28" s="5"/>
      <c r="D28" s="5"/>
      <c r="E28" s="23"/>
      <c r="F28" s="23"/>
      <c r="G28" s="23"/>
      <c r="H28" s="23"/>
      <c r="I28" s="23"/>
    </row>
    <row r="29" spans="1:9" ht="15.75" customHeight="1">
      <c r="A29" s="377" t="s">
        <v>108</v>
      </c>
      <c r="B29" s="377"/>
      <c r="C29" s="377"/>
      <c r="D29" s="377"/>
      <c r="E29" s="376" t="s">
        <v>225</v>
      </c>
      <c r="F29" s="376"/>
      <c r="G29" s="376"/>
      <c r="H29" s="376"/>
      <c r="I29" s="376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18.75">
      <c r="A31" s="5"/>
      <c r="B31" s="5"/>
      <c r="C31" s="5"/>
      <c r="D31" s="5"/>
      <c r="E31" s="5"/>
      <c r="F31" s="5"/>
      <c r="G31" s="5"/>
      <c r="H31" s="5"/>
      <c r="I31" s="5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3">
    <mergeCell ref="F2:I2"/>
    <mergeCell ref="A6:I6"/>
    <mergeCell ref="A7:I7"/>
    <mergeCell ref="A8:I8"/>
    <mergeCell ref="A23:D23"/>
    <mergeCell ref="F1:I1"/>
    <mergeCell ref="A29:D29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E27:I27"/>
    <mergeCell ref="E21:I21"/>
    <mergeCell ref="A21:D21"/>
    <mergeCell ref="A17:D17"/>
    <mergeCell ref="A19:D19"/>
    <mergeCell ref="E23:I23"/>
    <mergeCell ref="E25:I25"/>
  </mergeCells>
  <hyperlinks>
    <hyperlink ref="E25" r:id="rId1" display="kanc@ae.mrsk-yug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P100"/>
  <sheetViews>
    <sheetView view="pageBreakPreview" zoomScale="86" zoomScaleNormal="70" zoomScaleSheetLayoutView="86" zoomScalePageLayoutView="0" workbookViewId="0" topLeftCell="A1">
      <selection activeCell="A7" sqref="A7:K7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7" width="12.25390625" style="0" customWidth="1"/>
    <col min="8" max="9" width="12.125" style="0" customWidth="1"/>
    <col min="10" max="10" width="12.25390625" style="0" customWidth="1"/>
    <col min="11" max="11" width="12.125" style="0" customWidth="1"/>
    <col min="12" max="12" width="18.125" style="0" customWidth="1"/>
    <col min="13" max="13" width="10.875" style="0" bestFit="1" customWidth="1"/>
  </cols>
  <sheetData>
    <row r="1" spans="4:12" s="1" customFormat="1" ht="15.75" customHeight="1">
      <c r="D1" s="59"/>
      <c r="E1" s="425" t="s">
        <v>210</v>
      </c>
      <c r="F1" s="425"/>
      <c r="G1" s="425"/>
      <c r="H1" s="425"/>
      <c r="I1" s="60"/>
      <c r="J1" s="60"/>
      <c r="K1" s="60"/>
      <c r="L1" s="60"/>
    </row>
    <row r="2" spans="4:12" s="1" customFormat="1" ht="50.25" customHeight="1">
      <c r="D2" s="61"/>
      <c r="E2" s="61"/>
      <c r="F2" s="425" t="s">
        <v>96</v>
      </c>
      <c r="G2" s="425"/>
      <c r="H2" s="425"/>
      <c r="I2" s="60"/>
      <c r="J2" s="60"/>
      <c r="K2" s="60"/>
      <c r="L2" s="60"/>
    </row>
    <row r="3" spans="4:7" s="1" customFormat="1" ht="15.75" customHeight="1">
      <c r="D3" s="415"/>
      <c r="E3" s="415"/>
      <c r="F3" s="415"/>
      <c r="G3" s="415"/>
    </row>
    <row r="4" ht="15" customHeight="1"/>
    <row r="5" spans="1:12" ht="21" customHeight="1">
      <c r="A5" s="382" t="s">
        <v>110</v>
      </c>
      <c r="B5" s="382"/>
      <c r="C5" s="382"/>
      <c r="D5" s="382"/>
      <c r="E5" s="382"/>
      <c r="F5" s="382"/>
      <c r="G5" s="382"/>
      <c r="H5" s="382"/>
      <c r="I5" s="398"/>
      <c r="J5" s="398"/>
      <c r="K5" s="398"/>
      <c r="L5" s="78"/>
    </row>
    <row r="6" spans="1:12" ht="43.5" customHeight="1">
      <c r="A6" s="438" t="s">
        <v>329</v>
      </c>
      <c r="B6" s="438"/>
      <c r="C6" s="438"/>
      <c r="D6" s="438"/>
      <c r="E6" s="438"/>
      <c r="F6" s="438"/>
      <c r="G6" s="438"/>
      <c r="H6" s="438"/>
      <c r="I6" s="439"/>
      <c r="J6" s="439"/>
      <c r="K6" s="439"/>
      <c r="L6" s="79"/>
    </row>
    <row r="7" spans="1:12" ht="23.25" customHeight="1">
      <c r="A7" s="438" t="s">
        <v>211</v>
      </c>
      <c r="B7" s="438"/>
      <c r="C7" s="438"/>
      <c r="D7" s="438"/>
      <c r="E7" s="438"/>
      <c r="F7" s="438"/>
      <c r="G7" s="438"/>
      <c r="H7" s="438"/>
      <c r="I7" s="439"/>
      <c r="J7" s="439"/>
      <c r="K7" s="439"/>
      <c r="L7" s="79"/>
    </row>
    <row r="8" spans="1:3" ht="16.5" thickBot="1">
      <c r="A8" s="23"/>
      <c r="B8" s="23"/>
      <c r="C8" s="23"/>
    </row>
    <row r="9" spans="1:12" ht="64.5" customHeight="1" thickBot="1">
      <c r="A9" s="401"/>
      <c r="B9" s="404" t="s">
        <v>111</v>
      </c>
      <c r="C9" s="401" t="s">
        <v>31</v>
      </c>
      <c r="D9" s="410" t="s">
        <v>112</v>
      </c>
      <c r="E9" s="410"/>
      <c r="F9" s="410"/>
      <c r="G9" s="410"/>
      <c r="H9" s="410"/>
      <c r="I9" s="411"/>
      <c r="J9" s="411"/>
      <c r="K9" s="412"/>
      <c r="L9" s="82"/>
    </row>
    <row r="10" spans="1:12" ht="64.5" customHeight="1">
      <c r="A10" s="402"/>
      <c r="B10" s="405"/>
      <c r="C10" s="402"/>
      <c r="D10" s="419" t="s">
        <v>113</v>
      </c>
      <c r="E10" s="419"/>
      <c r="F10" s="419"/>
      <c r="G10" s="420"/>
      <c r="H10" s="407" t="s">
        <v>197</v>
      </c>
      <c r="I10" s="408"/>
      <c r="J10" s="408"/>
      <c r="K10" s="409"/>
      <c r="L10" s="82"/>
    </row>
    <row r="11" spans="1:12" ht="15.75" customHeight="1" thickBot="1">
      <c r="A11" s="403"/>
      <c r="B11" s="406"/>
      <c r="C11" s="403"/>
      <c r="D11" s="276" t="s">
        <v>37</v>
      </c>
      <c r="E11" s="273" t="s">
        <v>45</v>
      </c>
      <c r="F11" s="274" t="s">
        <v>81</v>
      </c>
      <c r="G11" s="275" t="s">
        <v>82</v>
      </c>
      <c r="H11" s="272" t="s">
        <v>37</v>
      </c>
      <c r="I11" s="273" t="s">
        <v>45</v>
      </c>
      <c r="J11" s="274" t="s">
        <v>81</v>
      </c>
      <c r="K11" s="275" t="s">
        <v>82</v>
      </c>
      <c r="L11" s="83"/>
    </row>
    <row r="12" spans="1:16" ht="69.75" customHeight="1" thickBot="1">
      <c r="A12" s="277" t="s">
        <v>186</v>
      </c>
      <c r="B12" s="442" t="s">
        <v>114</v>
      </c>
      <c r="C12" s="442"/>
      <c r="D12" s="442"/>
      <c r="E12" s="442"/>
      <c r="F12" s="442"/>
      <c r="G12" s="442"/>
      <c r="H12" s="443"/>
      <c r="I12" s="443"/>
      <c r="J12" s="443"/>
      <c r="K12" s="444"/>
      <c r="L12" s="84"/>
      <c r="M12" s="400"/>
      <c r="N12" s="400"/>
      <c r="O12" s="397"/>
      <c r="P12" s="398"/>
    </row>
    <row r="13" spans="1:14" ht="49.5" customHeight="1">
      <c r="A13" s="277"/>
      <c r="B13" s="291" t="s">
        <v>77</v>
      </c>
      <c r="C13" s="292" t="s">
        <v>38</v>
      </c>
      <c r="D13" s="413">
        <f>SUM(D14:E17)</f>
        <v>4283.46</v>
      </c>
      <c r="E13" s="414"/>
      <c r="F13" s="293"/>
      <c r="G13" s="294"/>
      <c r="H13" s="445">
        <f>SUM(H14:I17)</f>
        <v>4283.46</v>
      </c>
      <c r="I13" s="414"/>
      <c r="J13" s="279"/>
      <c r="K13" s="280"/>
      <c r="L13" s="85"/>
      <c r="M13" s="399"/>
      <c r="N13" s="398"/>
    </row>
    <row r="14" spans="1:12" ht="57" customHeight="1">
      <c r="A14" s="277" t="s">
        <v>185</v>
      </c>
      <c r="B14" s="295" t="s">
        <v>184</v>
      </c>
      <c r="C14" s="27" t="s">
        <v>38</v>
      </c>
      <c r="D14" s="426">
        <v>1188.625</v>
      </c>
      <c r="E14" s="427"/>
      <c r="F14" s="26"/>
      <c r="G14" s="278"/>
      <c r="H14" s="428">
        <v>1188.625</v>
      </c>
      <c r="I14" s="427"/>
      <c r="J14" s="65"/>
      <c r="K14" s="93"/>
      <c r="L14" s="86"/>
    </row>
    <row r="15" spans="1:12" ht="36" customHeight="1">
      <c r="A15" s="277" t="s">
        <v>187</v>
      </c>
      <c r="B15" s="296" t="s">
        <v>188</v>
      </c>
      <c r="C15" s="27" t="s">
        <v>38</v>
      </c>
      <c r="D15" s="426">
        <v>1608.365</v>
      </c>
      <c r="E15" s="427"/>
      <c r="F15" s="26"/>
      <c r="G15" s="278"/>
      <c r="H15" s="428">
        <v>1608.365</v>
      </c>
      <c r="I15" s="427"/>
      <c r="J15" s="65"/>
      <c r="K15" s="93"/>
      <c r="L15" s="86"/>
    </row>
    <row r="16" spans="1:12" ht="39.75" customHeight="1" hidden="1">
      <c r="A16" s="277" t="s">
        <v>189</v>
      </c>
      <c r="B16" s="296" t="s">
        <v>55</v>
      </c>
      <c r="C16" s="27" t="s">
        <v>38</v>
      </c>
      <c r="D16" s="63"/>
      <c r="E16" s="64"/>
      <c r="F16" s="64"/>
      <c r="G16" s="63"/>
      <c r="H16" s="281"/>
      <c r="I16" s="64"/>
      <c r="J16" s="65"/>
      <c r="K16" s="93"/>
      <c r="L16" s="86"/>
    </row>
    <row r="17" spans="1:12" ht="75" customHeight="1">
      <c r="A17" s="277" t="s">
        <v>190</v>
      </c>
      <c r="B17" s="296" t="s">
        <v>116</v>
      </c>
      <c r="C17" s="27" t="s">
        <v>38</v>
      </c>
      <c r="D17" s="426">
        <v>1486.47</v>
      </c>
      <c r="E17" s="427"/>
      <c r="F17" s="26"/>
      <c r="G17" s="278"/>
      <c r="H17" s="428">
        <v>1486.47</v>
      </c>
      <c r="I17" s="427"/>
      <c r="J17" s="65"/>
      <c r="K17" s="93"/>
      <c r="L17" s="86"/>
    </row>
    <row r="18" spans="1:12" ht="42" customHeight="1">
      <c r="A18" s="277"/>
      <c r="B18" s="297" t="s">
        <v>56</v>
      </c>
      <c r="C18" s="27" t="s">
        <v>38</v>
      </c>
      <c r="D18" s="52">
        <f>SUM(D19:D22)</f>
        <v>614.688</v>
      </c>
      <c r="E18" s="52">
        <f>SUM(E19:E22)</f>
        <v>663.31</v>
      </c>
      <c r="F18" s="52"/>
      <c r="G18" s="202"/>
      <c r="H18" s="282">
        <f>SUM(H19:H22)</f>
        <v>614.6800000000001</v>
      </c>
      <c r="I18" s="52">
        <f>SUM(I19:I22)</f>
        <v>663.31</v>
      </c>
      <c r="J18" s="52"/>
      <c r="K18" s="92"/>
      <c r="L18" s="85"/>
    </row>
    <row r="19" spans="1:12" ht="57" customHeight="1">
      <c r="A19" s="277" t="s">
        <v>185</v>
      </c>
      <c r="B19" s="295" t="s">
        <v>184</v>
      </c>
      <c r="C19" s="27" t="s">
        <v>38</v>
      </c>
      <c r="D19" s="65">
        <v>172.364</v>
      </c>
      <c r="E19" s="65">
        <v>299.18</v>
      </c>
      <c r="F19" s="65"/>
      <c r="G19" s="201"/>
      <c r="H19" s="283">
        <v>172.36</v>
      </c>
      <c r="I19" s="65">
        <v>299.18</v>
      </c>
      <c r="J19" s="65"/>
      <c r="K19" s="93"/>
      <c r="L19" s="86"/>
    </row>
    <row r="20" spans="1:12" ht="39.75" customHeight="1">
      <c r="A20" s="277" t="s">
        <v>187</v>
      </c>
      <c r="B20" s="296" t="s">
        <v>188</v>
      </c>
      <c r="C20" s="27" t="s">
        <v>38</v>
      </c>
      <c r="D20" s="65">
        <v>192.444</v>
      </c>
      <c r="E20" s="65">
        <v>128.35</v>
      </c>
      <c r="F20" s="65"/>
      <c r="G20" s="201"/>
      <c r="H20" s="283">
        <v>192.44</v>
      </c>
      <c r="I20" s="65">
        <v>128.35</v>
      </c>
      <c r="J20" s="65"/>
      <c r="K20" s="93"/>
      <c r="L20" s="86"/>
    </row>
    <row r="21" spans="1:12" ht="28.5" customHeight="1" hidden="1">
      <c r="A21" s="277" t="s">
        <v>189</v>
      </c>
      <c r="B21" s="296" t="s">
        <v>55</v>
      </c>
      <c r="C21" s="27" t="s">
        <v>38</v>
      </c>
      <c r="D21" s="65"/>
      <c r="E21" s="65"/>
      <c r="F21" s="65"/>
      <c r="G21" s="201"/>
      <c r="H21" s="283"/>
      <c r="I21" s="65"/>
      <c r="J21" s="65"/>
      <c r="K21" s="93"/>
      <c r="L21" s="87"/>
    </row>
    <row r="22" spans="1:12" ht="73.5" customHeight="1">
      <c r="A22" s="277" t="s">
        <v>190</v>
      </c>
      <c r="B22" s="296" t="s">
        <v>116</v>
      </c>
      <c r="C22" s="27" t="s">
        <v>38</v>
      </c>
      <c r="D22" s="65">
        <v>249.88</v>
      </c>
      <c r="E22" s="65">
        <v>235.78</v>
      </c>
      <c r="F22" s="65"/>
      <c r="G22" s="201"/>
      <c r="H22" s="283">
        <v>249.88</v>
      </c>
      <c r="I22" s="65">
        <v>235.78</v>
      </c>
      <c r="J22" s="65"/>
      <c r="K22" s="93"/>
      <c r="L22" s="86"/>
    </row>
    <row r="23" spans="1:12" ht="46.5" customHeight="1">
      <c r="A23" s="277"/>
      <c r="B23" s="297" t="s">
        <v>78</v>
      </c>
      <c r="C23" s="27" t="s">
        <v>38</v>
      </c>
      <c r="D23" s="52">
        <f aca="true" t="shared" si="0" ref="D23:I23">SUM(D24:D27)</f>
        <v>161.12</v>
      </c>
      <c r="E23" s="52">
        <f t="shared" si="0"/>
        <v>271.62</v>
      </c>
      <c r="F23" s="52">
        <f t="shared" si="0"/>
        <v>256.358</v>
      </c>
      <c r="G23" s="202">
        <f t="shared" si="0"/>
        <v>276.02</v>
      </c>
      <c r="H23" s="282">
        <f t="shared" si="0"/>
        <v>161.12</v>
      </c>
      <c r="I23" s="52">
        <f t="shared" si="0"/>
        <v>271.62</v>
      </c>
      <c r="J23" s="52"/>
      <c r="K23" s="92"/>
      <c r="L23" s="85"/>
    </row>
    <row r="24" spans="1:12" ht="48" customHeight="1">
      <c r="A24" s="277" t="s">
        <v>185</v>
      </c>
      <c r="B24" s="295" t="s">
        <v>115</v>
      </c>
      <c r="C24" s="27" t="s">
        <v>38</v>
      </c>
      <c r="D24" s="65">
        <v>55.26</v>
      </c>
      <c r="E24" s="65">
        <v>151.3</v>
      </c>
      <c r="F24" s="65">
        <v>98.214</v>
      </c>
      <c r="G24" s="201">
        <v>149.04</v>
      </c>
      <c r="H24" s="283">
        <v>55.26</v>
      </c>
      <c r="I24" s="65">
        <v>151.3</v>
      </c>
      <c r="J24" s="65"/>
      <c r="K24" s="93"/>
      <c r="L24" s="86"/>
    </row>
    <row r="25" spans="1:12" ht="39.75" customHeight="1">
      <c r="A25" s="277" t="s">
        <v>187</v>
      </c>
      <c r="B25" s="296" t="s">
        <v>117</v>
      </c>
      <c r="C25" s="27" t="s">
        <v>38</v>
      </c>
      <c r="D25" s="65">
        <v>40.67</v>
      </c>
      <c r="E25" s="65">
        <v>41.31</v>
      </c>
      <c r="F25" s="65">
        <v>110.054</v>
      </c>
      <c r="G25" s="201">
        <v>88.37</v>
      </c>
      <c r="H25" s="283">
        <v>40.67</v>
      </c>
      <c r="I25" s="65">
        <v>41.31</v>
      </c>
      <c r="J25" s="65"/>
      <c r="K25" s="93"/>
      <c r="L25" s="86"/>
    </row>
    <row r="26" spans="1:12" ht="69" customHeight="1">
      <c r="A26" s="277" t="s">
        <v>189</v>
      </c>
      <c r="B26" s="296" t="s">
        <v>118</v>
      </c>
      <c r="C26" s="27" t="s">
        <v>38</v>
      </c>
      <c r="D26" s="65">
        <v>18.58</v>
      </c>
      <c r="E26" s="65">
        <v>16.78</v>
      </c>
      <c r="F26" s="65">
        <v>8.62</v>
      </c>
      <c r="G26" s="201">
        <v>6.92</v>
      </c>
      <c r="H26" s="283">
        <v>18.58</v>
      </c>
      <c r="I26" s="65">
        <v>16.78</v>
      </c>
      <c r="J26" s="65"/>
      <c r="K26" s="93"/>
      <c r="L26" s="86"/>
    </row>
    <row r="27" spans="1:12" ht="69.75" customHeight="1">
      <c r="A27" s="277" t="s">
        <v>190</v>
      </c>
      <c r="B27" s="296" t="s">
        <v>116</v>
      </c>
      <c r="C27" s="27" t="s">
        <v>38</v>
      </c>
      <c r="D27" s="65">
        <v>46.61</v>
      </c>
      <c r="E27" s="65">
        <v>62.23</v>
      </c>
      <c r="F27" s="65">
        <v>39.47</v>
      </c>
      <c r="G27" s="201">
        <v>31.69</v>
      </c>
      <c r="H27" s="283">
        <v>46.61</v>
      </c>
      <c r="I27" s="65">
        <v>62.23</v>
      </c>
      <c r="J27" s="65"/>
      <c r="K27" s="93"/>
      <c r="L27" s="86"/>
    </row>
    <row r="28" spans="1:12" ht="35.25" customHeight="1">
      <c r="A28" s="277"/>
      <c r="B28" s="297" t="s">
        <v>57</v>
      </c>
      <c r="C28" s="27" t="s">
        <v>38</v>
      </c>
      <c r="D28" s="52">
        <f aca="true" t="shared" si="1" ref="D28:I28">SUM(D29:D32)</f>
        <v>164.84</v>
      </c>
      <c r="E28" s="52">
        <f t="shared" si="1"/>
        <v>164.84</v>
      </c>
      <c r="F28" s="52">
        <f t="shared" si="1"/>
        <v>172.71799999999996</v>
      </c>
      <c r="G28" s="202">
        <f t="shared" si="1"/>
        <v>124.64</v>
      </c>
      <c r="H28" s="282">
        <f t="shared" si="1"/>
        <v>164.84</v>
      </c>
      <c r="I28" s="52">
        <f t="shared" si="1"/>
        <v>164.84</v>
      </c>
      <c r="J28" s="52"/>
      <c r="K28" s="92"/>
      <c r="L28" s="85"/>
    </row>
    <row r="29" spans="1:12" ht="50.25" customHeight="1">
      <c r="A29" s="277" t="s">
        <v>185</v>
      </c>
      <c r="B29" s="295" t="s">
        <v>115</v>
      </c>
      <c r="C29" s="27" t="s">
        <v>38</v>
      </c>
      <c r="D29" s="65">
        <v>90.05</v>
      </c>
      <c r="E29" s="65">
        <v>90.05</v>
      </c>
      <c r="F29" s="65">
        <v>66.374</v>
      </c>
      <c r="G29" s="201">
        <v>67.92</v>
      </c>
      <c r="H29" s="283">
        <v>90.05</v>
      </c>
      <c r="I29" s="65">
        <v>90.05</v>
      </c>
      <c r="J29" s="65"/>
      <c r="K29" s="93"/>
      <c r="L29" s="86"/>
    </row>
    <row r="30" spans="1:12" ht="41.25" customHeight="1">
      <c r="A30" s="277" t="s">
        <v>187</v>
      </c>
      <c r="B30" s="296" t="s">
        <v>117</v>
      </c>
      <c r="C30" s="27" t="s">
        <v>38</v>
      </c>
      <c r="D30" s="65">
        <v>54.64</v>
      </c>
      <c r="E30" s="65">
        <v>54.64</v>
      </c>
      <c r="F30" s="65">
        <v>74.014</v>
      </c>
      <c r="G30" s="201">
        <v>39.47</v>
      </c>
      <c r="H30" s="283">
        <v>54.64</v>
      </c>
      <c r="I30" s="65">
        <v>54.64</v>
      </c>
      <c r="J30" s="65"/>
      <c r="K30" s="93"/>
      <c r="L30" s="86"/>
    </row>
    <row r="31" spans="1:12" ht="69" customHeight="1">
      <c r="A31" s="277" t="s">
        <v>189</v>
      </c>
      <c r="B31" s="296" t="s">
        <v>118</v>
      </c>
      <c r="C31" s="27" t="s">
        <v>38</v>
      </c>
      <c r="D31" s="65">
        <v>4.28</v>
      </c>
      <c r="E31" s="65">
        <v>4.28</v>
      </c>
      <c r="F31" s="65">
        <v>5.79</v>
      </c>
      <c r="G31" s="201">
        <v>3.09</v>
      </c>
      <c r="H31" s="283">
        <v>4.28</v>
      </c>
      <c r="I31" s="65">
        <v>4.28</v>
      </c>
      <c r="J31" s="65"/>
      <c r="K31" s="93"/>
      <c r="L31" s="86"/>
    </row>
    <row r="32" spans="1:12" ht="77.25" customHeight="1" thickBot="1">
      <c r="A32" s="277" t="s">
        <v>190</v>
      </c>
      <c r="B32" s="298" t="s">
        <v>116</v>
      </c>
      <c r="C32" s="70" t="s">
        <v>38</v>
      </c>
      <c r="D32" s="299">
        <v>15.87</v>
      </c>
      <c r="E32" s="299">
        <v>15.87</v>
      </c>
      <c r="F32" s="299">
        <v>26.54</v>
      </c>
      <c r="G32" s="300">
        <v>14.16</v>
      </c>
      <c r="H32" s="301">
        <v>15.87</v>
      </c>
      <c r="I32" s="299">
        <v>15.87</v>
      </c>
      <c r="J32" s="299"/>
      <c r="K32" s="302"/>
      <c r="L32" s="86"/>
    </row>
    <row r="33" spans="1:12" ht="49.5" customHeight="1" thickBot="1">
      <c r="A33" s="416" t="s">
        <v>191</v>
      </c>
      <c r="B33" s="429" t="s">
        <v>205</v>
      </c>
      <c r="C33" s="429"/>
      <c r="D33" s="429"/>
      <c r="E33" s="429"/>
      <c r="F33" s="429"/>
      <c r="G33" s="429"/>
      <c r="H33" s="430"/>
      <c r="I33" s="430"/>
      <c r="J33" s="430"/>
      <c r="K33" s="431"/>
      <c r="L33" s="88"/>
    </row>
    <row r="34" spans="1:12" ht="42.75" customHeight="1">
      <c r="A34" s="417"/>
      <c r="B34" s="306" t="s">
        <v>58</v>
      </c>
      <c r="C34" s="307"/>
      <c r="D34" s="285"/>
      <c r="E34" s="285"/>
      <c r="F34" s="285"/>
      <c r="G34" s="308"/>
      <c r="H34" s="284"/>
      <c r="I34" s="285"/>
      <c r="J34" s="285"/>
      <c r="K34" s="286"/>
      <c r="L34" s="89"/>
    </row>
    <row r="35" spans="1:12" ht="15.75">
      <c r="A35" s="417"/>
      <c r="B35" s="309" t="s">
        <v>85</v>
      </c>
      <c r="C35" s="36" t="s">
        <v>59</v>
      </c>
      <c r="D35" s="97"/>
      <c r="E35" s="97"/>
      <c r="F35" s="38"/>
      <c r="G35" s="95"/>
      <c r="H35" s="102"/>
      <c r="I35" s="97"/>
      <c r="J35" s="37"/>
      <c r="K35" s="263"/>
      <c r="L35" s="89"/>
    </row>
    <row r="36" spans="1:12" ht="15.75">
      <c r="A36" s="417"/>
      <c r="B36" s="310" t="s">
        <v>86</v>
      </c>
      <c r="C36" s="39" t="s">
        <v>59</v>
      </c>
      <c r="D36" s="34">
        <v>407130</v>
      </c>
      <c r="E36" s="343">
        <v>429410</v>
      </c>
      <c r="F36" s="41"/>
      <c r="G36" s="96"/>
      <c r="H36" s="287"/>
      <c r="I36" s="99"/>
      <c r="J36" s="40"/>
      <c r="K36" s="264"/>
      <c r="L36" s="89"/>
    </row>
    <row r="37" spans="1:12" ht="31.5">
      <c r="A37" s="417"/>
      <c r="B37" s="311" t="s">
        <v>60</v>
      </c>
      <c r="C37" s="33"/>
      <c r="D37" s="34"/>
      <c r="E37" s="34"/>
      <c r="F37" s="35"/>
      <c r="G37" s="94"/>
      <c r="H37" s="101"/>
      <c r="I37" s="34"/>
      <c r="J37" s="34"/>
      <c r="K37" s="262"/>
      <c r="L37" s="89"/>
    </row>
    <row r="38" spans="1:12" ht="15.75">
      <c r="A38" s="417"/>
      <c r="B38" s="309" t="s">
        <v>85</v>
      </c>
      <c r="C38" s="36" t="s">
        <v>59</v>
      </c>
      <c r="D38" s="37"/>
      <c r="E38" s="37"/>
      <c r="F38" s="38"/>
      <c r="G38" s="95"/>
      <c r="H38" s="102"/>
      <c r="I38" s="97"/>
      <c r="J38" s="97"/>
      <c r="K38" s="265"/>
      <c r="L38" s="89"/>
    </row>
    <row r="39" spans="1:12" ht="15.75">
      <c r="A39" s="417"/>
      <c r="B39" s="310" t="s">
        <v>86</v>
      </c>
      <c r="C39" s="39" t="s">
        <v>59</v>
      </c>
      <c r="D39" s="34">
        <v>471870</v>
      </c>
      <c r="E39" s="34">
        <v>441570</v>
      </c>
      <c r="F39" s="41"/>
      <c r="G39" s="96"/>
      <c r="H39" s="287"/>
      <c r="I39" s="99"/>
      <c r="J39" s="32"/>
      <c r="K39" s="266"/>
      <c r="L39" s="89"/>
    </row>
    <row r="40" spans="1:12" ht="46.5" customHeight="1">
      <c r="A40" s="417"/>
      <c r="B40" s="311" t="s">
        <v>61</v>
      </c>
      <c r="C40" s="33"/>
      <c r="D40" s="34"/>
      <c r="E40" s="34"/>
      <c r="F40" s="34"/>
      <c r="G40" s="94"/>
      <c r="H40" s="101"/>
      <c r="I40" s="34"/>
      <c r="J40" s="34"/>
      <c r="K40" s="262"/>
      <c r="L40" s="89"/>
    </row>
    <row r="41" spans="1:12" ht="15.75">
      <c r="A41" s="417"/>
      <c r="B41" s="309" t="s">
        <v>85</v>
      </c>
      <c r="C41" s="36" t="s">
        <v>59</v>
      </c>
      <c r="D41" s="37"/>
      <c r="E41" s="37"/>
      <c r="F41" s="37"/>
      <c r="G41" s="95"/>
      <c r="H41" s="102"/>
      <c r="I41" s="97"/>
      <c r="J41" s="97"/>
      <c r="K41" s="265"/>
      <c r="L41" s="89"/>
    </row>
    <row r="42" spans="1:12" ht="15.75">
      <c r="A42" s="417"/>
      <c r="B42" s="310" t="s">
        <v>86</v>
      </c>
      <c r="C42" s="39" t="s">
        <v>59</v>
      </c>
      <c r="D42" s="34">
        <v>547320</v>
      </c>
      <c r="E42" s="34">
        <v>564700</v>
      </c>
      <c r="F42" s="40"/>
      <c r="G42" s="96"/>
      <c r="H42" s="287"/>
      <c r="I42" s="99"/>
      <c r="J42" s="32"/>
      <c r="K42" s="266"/>
      <c r="L42" s="89"/>
    </row>
    <row r="43" spans="1:12" ht="46.5" customHeight="1">
      <c r="A43" s="417"/>
      <c r="B43" s="311" t="s">
        <v>62</v>
      </c>
      <c r="C43" s="33"/>
      <c r="D43" s="34"/>
      <c r="E43" s="34"/>
      <c r="F43" s="34"/>
      <c r="G43" s="94"/>
      <c r="H43" s="101"/>
      <c r="I43" s="34"/>
      <c r="J43" s="34"/>
      <c r="K43" s="262"/>
      <c r="L43" s="89"/>
    </row>
    <row r="44" spans="1:12" ht="15.75">
      <c r="A44" s="417"/>
      <c r="B44" s="309" t="s">
        <v>85</v>
      </c>
      <c r="C44" s="36" t="s">
        <v>59</v>
      </c>
      <c r="D44" s="37"/>
      <c r="E44" s="37"/>
      <c r="F44" s="37"/>
      <c r="G44" s="95"/>
      <c r="H44" s="102"/>
      <c r="I44" s="97"/>
      <c r="J44" s="97"/>
      <c r="K44" s="265"/>
      <c r="L44" s="89"/>
    </row>
    <row r="45" spans="1:12" ht="15.75">
      <c r="A45" s="417"/>
      <c r="B45" s="310" t="s">
        <v>86</v>
      </c>
      <c r="C45" s="39" t="s">
        <v>59</v>
      </c>
      <c r="D45" s="34">
        <v>571500</v>
      </c>
      <c r="E45" s="34">
        <v>588000</v>
      </c>
      <c r="F45" s="40"/>
      <c r="G45" s="96"/>
      <c r="H45" s="287"/>
      <c r="I45" s="99"/>
      <c r="J45" s="32"/>
      <c r="K45" s="266"/>
      <c r="L45" s="89"/>
    </row>
    <row r="46" spans="1:12" ht="41.25" customHeight="1">
      <c r="A46" s="417"/>
      <c r="B46" s="311" t="s">
        <v>79</v>
      </c>
      <c r="C46" s="33"/>
      <c r="D46" s="34"/>
      <c r="E46" s="34"/>
      <c r="F46" s="34"/>
      <c r="G46" s="94"/>
      <c r="H46" s="101"/>
      <c r="I46" s="34"/>
      <c r="J46" s="34"/>
      <c r="K46" s="262"/>
      <c r="L46" s="89"/>
    </row>
    <row r="47" spans="1:12" ht="15.75">
      <c r="A47" s="417"/>
      <c r="B47" s="309" t="s">
        <v>85</v>
      </c>
      <c r="C47" s="100" t="s">
        <v>59</v>
      </c>
      <c r="D47" s="37"/>
      <c r="E47" s="37"/>
      <c r="F47" s="37"/>
      <c r="G47" s="95"/>
      <c r="H47" s="102"/>
      <c r="I47" s="97"/>
      <c r="J47" s="97"/>
      <c r="K47" s="265"/>
      <c r="L47" s="89"/>
    </row>
    <row r="48" spans="1:12" ht="16.5" thickBot="1">
      <c r="A48" s="418"/>
      <c r="B48" s="312" t="s">
        <v>86</v>
      </c>
      <c r="C48" s="303" t="s">
        <v>59</v>
      </c>
      <c r="D48" s="34">
        <v>571500</v>
      </c>
      <c r="E48" s="34">
        <v>588000</v>
      </c>
      <c r="F48" s="304"/>
      <c r="G48" s="305"/>
      <c r="H48" s="288"/>
      <c r="I48" s="289"/>
      <c r="J48" s="289"/>
      <c r="K48" s="290"/>
      <c r="L48" s="89"/>
    </row>
    <row r="49" spans="1:12" ht="48" customHeight="1" thickBot="1">
      <c r="A49" s="417" t="s">
        <v>192</v>
      </c>
      <c r="B49" s="421" t="s">
        <v>206</v>
      </c>
      <c r="C49" s="422"/>
      <c r="D49" s="422"/>
      <c r="E49" s="422"/>
      <c r="F49" s="422"/>
      <c r="G49" s="422"/>
      <c r="H49" s="423"/>
      <c r="I49" s="423"/>
      <c r="J49" s="423"/>
      <c r="K49" s="424"/>
      <c r="L49" s="90"/>
    </row>
    <row r="50" spans="1:12" ht="44.25" customHeight="1">
      <c r="A50" s="417"/>
      <c r="B50" s="306" t="s">
        <v>63</v>
      </c>
      <c r="C50" s="307"/>
      <c r="D50" s="285"/>
      <c r="E50" s="285"/>
      <c r="F50" s="285"/>
      <c r="G50" s="308"/>
      <c r="H50" s="313"/>
      <c r="I50" s="285"/>
      <c r="J50" s="285"/>
      <c r="K50" s="308"/>
      <c r="L50" s="89"/>
    </row>
    <row r="51" spans="1:12" ht="15.75">
      <c r="A51" s="417"/>
      <c r="B51" s="314" t="s">
        <v>298</v>
      </c>
      <c r="C51" s="36" t="s">
        <v>59</v>
      </c>
      <c r="D51" s="37">
        <v>574380</v>
      </c>
      <c r="E51" s="37">
        <v>814660</v>
      </c>
      <c r="F51" s="81"/>
      <c r="G51" s="103"/>
      <c r="H51" s="37"/>
      <c r="I51" s="37"/>
      <c r="J51" s="98"/>
      <c r="K51" s="267"/>
      <c r="L51" s="91"/>
    </row>
    <row r="52" spans="1:12" ht="15.75">
      <c r="A52" s="417"/>
      <c r="B52" s="314" t="s">
        <v>299</v>
      </c>
      <c r="C52" s="36"/>
      <c r="D52" s="53">
        <v>705020</v>
      </c>
      <c r="E52" s="53">
        <v>1022610</v>
      </c>
      <c r="F52" s="209"/>
      <c r="G52" s="103"/>
      <c r="H52" s="53"/>
      <c r="I52" s="53"/>
      <c r="J52" s="210"/>
      <c r="K52" s="103"/>
      <c r="L52" s="91"/>
    </row>
    <row r="53" spans="1:12" ht="15.75">
      <c r="A53" s="417"/>
      <c r="B53" s="315" t="s">
        <v>300</v>
      </c>
      <c r="C53" s="36"/>
      <c r="D53" s="53">
        <v>556090</v>
      </c>
      <c r="E53" s="53">
        <v>775060</v>
      </c>
      <c r="F53" s="209"/>
      <c r="G53" s="103"/>
      <c r="H53" s="53"/>
      <c r="I53" s="53"/>
      <c r="J53" s="210"/>
      <c r="K53" s="103"/>
      <c r="L53" s="91"/>
    </row>
    <row r="54" spans="1:12" ht="15.75">
      <c r="A54" s="417"/>
      <c r="B54" s="315" t="s">
        <v>301</v>
      </c>
      <c r="C54" s="36" t="s">
        <v>59</v>
      </c>
      <c r="D54" s="40">
        <v>667520</v>
      </c>
      <c r="E54" s="40">
        <v>981430</v>
      </c>
      <c r="F54" s="54"/>
      <c r="G54" s="104"/>
      <c r="H54" s="40"/>
      <c r="I54" s="40"/>
      <c r="J54" s="32"/>
      <c r="K54" s="268"/>
      <c r="L54" s="89"/>
    </row>
    <row r="55" spans="1:12" ht="42.75" customHeight="1">
      <c r="A55" s="417"/>
      <c r="B55" s="311" t="s">
        <v>64</v>
      </c>
      <c r="C55" s="33"/>
      <c r="D55" s="34"/>
      <c r="E55" s="34"/>
      <c r="F55" s="34"/>
      <c r="G55" s="94"/>
      <c r="H55" s="34"/>
      <c r="I55" s="34"/>
      <c r="J55" s="34"/>
      <c r="K55" s="94"/>
      <c r="L55" s="89"/>
    </row>
    <row r="56" spans="1:12" ht="18" customHeight="1">
      <c r="A56" s="417"/>
      <c r="B56" s="314" t="s">
        <v>298</v>
      </c>
      <c r="C56" s="205"/>
      <c r="D56" s="37">
        <v>622300</v>
      </c>
      <c r="E56" s="37">
        <v>862700</v>
      </c>
      <c r="F56" s="206"/>
      <c r="G56" s="207"/>
      <c r="H56" s="37"/>
      <c r="I56" s="37"/>
      <c r="J56" s="208"/>
      <c r="K56" s="269"/>
      <c r="L56" s="89"/>
    </row>
    <row r="57" spans="1:12" ht="15.75" customHeight="1">
      <c r="A57" s="417"/>
      <c r="B57" s="314" t="s">
        <v>299</v>
      </c>
      <c r="C57" s="205"/>
      <c r="D57" s="53">
        <v>798320</v>
      </c>
      <c r="E57" s="53">
        <v>1118830</v>
      </c>
      <c r="F57" s="206"/>
      <c r="G57" s="207"/>
      <c r="H57" s="53"/>
      <c r="I57" s="53"/>
      <c r="J57" s="208"/>
      <c r="K57" s="269"/>
      <c r="L57" s="89"/>
    </row>
    <row r="58" spans="1:12" ht="15.75">
      <c r="A58" s="417"/>
      <c r="B58" s="315" t="s">
        <v>300</v>
      </c>
      <c r="C58" s="36" t="s">
        <v>59</v>
      </c>
      <c r="D58" s="53">
        <v>569240</v>
      </c>
      <c r="E58" s="53">
        <v>786960</v>
      </c>
      <c r="F58" s="38"/>
      <c r="G58" s="95"/>
      <c r="H58" s="53"/>
      <c r="I58" s="53"/>
      <c r="J58" s="97"/>
      <c r="K58" s="270"/>
      <c r="L58" s="89"/>
    </row>
    <row r="59" spans="1:12" ht="15.75">
      <c r="A59" s="417"/>
      <c r="B59" s="315" t="s">
        <v>301</v>
      </c>
      <c r="C59" s="36" t="s">
        <v>59</v>
      </c>
      <c r="D59" s="40">
        <v>694700</v>
      </c>
      <c r="E59" s="40">
        <v>1012630</v>
      </c>
      <c r="F59" s="54"/>
      <c r="G59" s="104"/>
      <c r="H59" s="40"/>
      <c r="I59" s="40"/>
      <c r="J59" s="32"/>
      <c r="K59" s="268"/>
      <c r="L59" s="89"/>
    </row>
    <row r="60" spans="1:12" ht="39.75" customHeight="1">
      <c r="A60" s="417"/>
      <c r="B60" s="311" t="s">
        <v>65</v>
      </c>
      <c r="C60" s="33"/>
      <c r="D60" s="34"/>
      <c r="E60" s="34"/>
      <c r="F60" s="34"/>
      <c r="G60" s="94"/>
      <c r="H60" s="34"/>
      <c r="I60" s="34"/>
      <c r="J60" s="34"/>
      <c r="K60" s="94"/>
      <c r="L60" s="89"/>
    </row>
    <row r="61" spans="1:12" ht="15.75">
      <c r="A61" s="417"/>
      <c r="B61" s="314" t="s">
        <v>298</v>
      </c>
      <c r="C61" s="36" t="s">
        <v>59</v>
      </c>
      <c r="D61" s="37">
        <v>803080</v>
      </c>
      <c r="E61" s="37">
        <v>1114520</v>
      </c>
      <c r="F61" s="37"/>
      <c r="G61" s="95"/>
      <c r="H61" s="37"/>
      <c r="I61" s="37"/>
      <c r="J61" s="97"/>
      <c r="K61" s="270"/>
      <c r="L61" s="89"/>
    </row>
    <row r="62" spans="1:12" ht="15.75">
      <c r="A62" s="417"/>
      <c r="B62" s="314" t="s">
        <v>299</v>
      </c>
      <c r="C62" s="36"/>
      <c r="D62" s="53">
        <v>1145350</v>
      </c>
      <c r="E62" s="53">
        <v>1762490</v>
      </c>
      <c r="F62" s="53"/>
      <c r="G62" s="104"/>
      <c r="H62" s="53"/>
      <c r="I62" s="53"/>
      <c r="J62" s="208"/>
      <c r="K62" s="269"/>
      <c r="L62" s="89"/>
    </row>
    <row r="63" spans="1:12" ht="15.75">
      <c r="A63" s="417"/>
      <c r="B63" s="315" t="s">
        <v>300</v>
      </c>
      <c r="C63" s="36"/>
      <c r="D63" s="53">
        <v>684730</v>
      </c>
      <c r="E63" s="53">
        <v>1077070</v>
      </c>
      <c r="F63" s="53"/>
      <c r="G63" s="104"/>
      <c r="H63" s="53"/>
      <c r="I63" s="53"/>
      <c r="J63" s="208"/>
      <c r="K63" s="269"/>
      <c r="L63" s="89"/>
    </row>
    <row r="64" spans="1:12" ht="15.75">
      <c r="A64" s="417"/>
      <c r="B64" s="315" t="s">
        <v>301</v>
      </c>
      <c r="C64" s="36" t="s">
        <v>59</v>
      </c>
      <c r="D64" s="40">
        <v>854230</v>
      </c>
      <c r="E64" s="40">
        <v>1587430</v>
      </c>
      <c r="F64" s="53"/>
      <c r="G64" s="104"/>
      <c r="H64" s="40"/>
      <c r="I64" s="40"/>
      <c r="J64" s="32"/>
      <c r="K64" s="268"/>
      <c r="L64" s="89"/>
    </row>
    <row r="65" spans="1:12" ht="39.75" customHeight="1">
      <c r="A65" s="417"/>
      <c r="B65" s="311" t="s">
        <v>66</v>
      </c>
      <c r="C65" s="33"/>
      <c r="D65" s="34"/>
      <c r="E65" s="34"/>
      <c r="F65" s="34"/>
      <c r="G65" s="94"/>
      <c r="H65" s="34"/>
      <c r="I65" s="34"/>
      <c r="J65" s="34"/>
      <c r="K65" s="94"/>
      <c r="L65" s="89"/>
    </row>
    <row r="66" spans="1:12" ht="15.75">
      <c r="A66" s="417"/>
      <c r="B66" s="314" t="s">
        <v>298</v>
      </c>
      <c r="C66" s="36" t="s">
        <v>59</v>
      </c>
      <c r="D66" s="37">
        <v>987830</v>
      </c>
      <c r="E66" s="37">
        <v>1388980</v>
      </c>
      <c r="F66" s="37"/>
      <c r="G66" s="95"/>
      <c r="H66" s="37"/>
      <c r="I66" s="37"/>
      <c r="J66" s="97"/>
      <c r="K66" s="270"/>
      <c r="L66" s="89"/>
    </row>
    <row r="67" spans="1:12" ht="15.75">
      <c r="A67" s="417"/>
      <c r="B67" s="314" t="s">
        <v>299</v>
      </c>
      <c r="C67" s="36"/>
      <c r="D67" s="53">
        <v>1509090</v>
      </c>
      <c r="E67" s="53">
        <v>2292620</v>
      </c>
      <c r="F67" s="53"/>
      <c r="G67" s="104"/>
      <c r="H67" s="53"/>
      <c r="I67" s="53"/>
      <c r="J67" s="208"/>
      <c r="K67" s="269"/>
      <c r="L67" s="89"/>
    </row>
    <row r="68" spans="1:12" ht="15.75">
      <c r="A68" s="417"/>
      <c r="B68" s="315" t="s">
        <v>300</v>
      </c>
      <c r="C68" s="36"/>
      <c r="D68" s="53">
        <v>758920</v>
      </c>
      <c r="E68" s="53">
        <v>1300970</v>
      </c>
      <c r="F68" s="53"/>
      <c r="G68" s="104"/>
      <c r="H68" s="53"/>
      <c r="I68" s="53"/>
      <c r="J68" s="208"/>
      <c r="K68" s="269"/>
      <c r="L68" s="89"/>
    </row>
    <row r="69" spans="1:12" ht="15.75">
      <c r="A69" s="417"/>
      <c r="B69" s="315" t="s">
        <v>301</v>
      </c>
      <c r="C69" s="36" t="s">
        <v>59</v>
      </c>
      <c r="D69" s="40">
        <v>1002620</v>
      </c>
      <c r="E69" s="40">
        <v>2030660</v>
      </c>
      <c r="F69" s="53"/>
      <c r="G69" s="104"/>
      <c r="H69" s="40"/>
      <c r="I69" s="40"/>
      <c r="J69" s="32"/>
      <c r="K69" s="268"/>
      <c r="L69" s="89"/>
    </row>
    <row r="70" spans="1:12" ht="39" customHeight="1">
      <c r="A70" s="417"/>
      <c r="B70" s="311" t="s">
        <v>67</v>
      </c>
      <c r="C70" s="33"/>
      <c r="D70" s="34"/>
      <c r="E70" s="34"/>
      <c r="F70" s="34"/>
      <c r="G70" s="94"/>
      <c r="H70" s="34"/>
      <c r="I70" s="34"/>
      <c r="J70" s="34"/>
      <c r="K70" s="94"/>
      <c r="L70" s="89"/>
    </row>
    <row r="71" spans="1:12" ht="15.75">
      <c r="A71" s="417"/>
      <c r="B71" s="314" t="s">
        <v>298</v>
      </c>
      <c r="C71" s="36" t="s">
        <v>59</v>
      </c>
      <c r="D71" s="37">
        <v>987830</v>
      </c>
      <c r="E71" s="37">
        <v>1388980</v>
      </c>
      <c r="F71" s="37"/>
      <c r="G71" s="95"/>
      <c r="H71" s="37"/>
      <c r="I71" s="37"/>
      <c r="J71" s="97"/>
      <c r="K71" s="270"/>
      <c r="L71" s="89"/>
    </row>
    <row r="72" spans="1:12" ht="15.75">
      <c r="A72" s="417"/>
      <c r="B72" s="314" t="s">
        <v>299</v>
      </c>
      <c r="C72" s="36"/>
      <c r="D72" s="53">
        <v>1509090</v>
      </c>
      <c r="E72" s="53">
        <v>2292620</v>
      </c>
      <c r="F72" s="53"/>
      <c r="G72" s="104"/>
      <c r="H72" s="53"/>
      <c r="I72" s="53"/>
      <c r="J72" s="208"/>
      <c r="K72" s="269"/>
      <c r="L72" s="89"/>
    </row>
    <row r="73" spans="1:12" ht="15.75">
      <c r="A73" s="417"/>
      <c r="B73" s="315" t="s">
        <v>300</v>
      </c>
      <c r="C73" s="36"/>
      <c r="D73" s="53">
        <v>758920</v>
      </c>
      <c r="E73" s="53">
        <v>1300970</v>
      </c>
      <c r="F73" s="53"/>
      <c r="G73" s="104"/>
      <c r="H73" s="53"/>
      <c r="I73" s="53"/>
      <c r="J73" s="208"/>
      <c r="K73" s="269"/>
      <c r="L73" s="89"/>
    </row>
    <row r="74" spans="1:12" ht="16.5" thickBot="1">
      <c r="A74" s="417"/>
      <c r="B74" s="316" t="s">
        <v>301</v>
      </c>
      <c r="C74" s="317" t="s">
        <v>59</v>
      </c>
      <c r="D74" s="40">
        <v>1002620</v>
      </c>
      <c r="E74" s="40">
        <v>2030660</v>
      </c>
      <c r="F74" s="304"/>
      <c r="G74" s="305"/>
      <c r="H74" s="304"/>
      <c r="I74" s="304"/>
      <c r="J74" s="289"/>
      <c r="K74" s="318"/>
      <c r="L74" s="89"/>
    </row>
    <row r="75" spans="1:12" ht="45" customHeight="1" thickBot="1">
      <c r="A75" s="441" t="s">
        <v>193</v>
      </c>
      <c r="B75" s="421" t="s">
        <v>207</v>
      </c>
      <c r="C75" s="422"/>
      <c r="D75" s="422"/>
      <c r="E75" s="422"/>
      <c r="F75" s="422"/>
      <c r="G75" s="422"/>
      <c r="H75" s="423"/>
      <c r="I75" s="423"/>
      <c r="J75" s="423"/>
      <c r="K75" s="424"/>
      <c r="L75" s="90"/>
    </row>
    <row r="76" spans="1:12" ht="40.5" customHeight="1">
      <c r="A76" s="417"/>
      <c r="B76" s="319" t="s">
        <v>95</v>
      </c>
      <c r="C76" s="292" t="s">
        <v>38</v>
      </c>
      <c r="D76" s="393">
        <v>5646</v>
      </c>
      <c r="E76" s="394"/>
      <c r="F76" s="394"/>
      <c r="G76" s="396"/>
      <c r="H76" s="393"/>
      <c r="I76" s="394"/>
      <c r="J76" s="394"/>
      <c r="K76" s="395"/>
      <c r="L76" s="89"/>
    </row>
    <row r="77" spans="1:12" ht="40.5" customHeight="1">
      <c r="A77" s="417"/>
      <c r="B77" s="320" t="s">
        <v>80</v>
      </c>
      <c r="C77" s="27" t="s">
        <v>38</v>
      </c>
      <c r="D77" s="385">
        <v>1109</v>
      </c>
      <c r="E77" s="386"/>
      <c r="F77" s="386"/>
      <c r="G77" s="387"/>
      <c r="H77" s="385"/>
      <c r="I77" s="386"/>
      <c r="J77" s="386"/>
      <c r="K77" s="388"/>
      <c r="L77" s="89"/>
    </row>
    <row r="78" spans="1:12" ht="38.25" customHeight="1" thickBot="1">
      <c r="A78" s="417"/>
      <c r="B78" s="321" t="s">
        <v>68</v>
      </c>
      <c r="C78" s="271" t="s">
        <v>38</v>
      </c>
      <c r="D78" s="389">
        <v>311</v>
      </c>
      <c r="E78" s="390"/>
      <c r="F78" s="390"/>
      <c r="G78" s="391"/>
      <c r="H78" s="389"/>
      <c r="I78" s="390"/>
      <c r="J78" s="390"/>
      <c r="K78" s="392"/>
      <c r="L78" s="89"/>
    </row>
    <row r="79" spans="1:12" ht="55.5" customHeight="1" thickBot="1">
      <c r="A79" s="417"/>
      <c r="B79" s="435" t="s">
        <v>208</v>
      </c>
      <c r="C79" s="435"/>
      <c r="D79" s="435"/>
      <c r="E79" s="435"/>
      <c r="F79" s="435"/>
      <c r="G79" s="435"/>
      <c r="H79" s="436"/>
      <c r="I79" s="436"/>
      <c r="J79" s="436"/>
      <c r="K79" s="437"/>
      <c r="L79" s="91"/>
    </row>
    <row r="80" spans="1:12" ht="36" customHeight="1">
      <c r="A80" s="417"/>
      <c r="B80" s="319" t="s">
        <v>69</v>
      </c>
      <c r="C80" s="292" t="s">
        <v>38</v>
      </c>
      <c r="D80" s="393">
        <v>13272</v>
      </c>
      <c r="E80" s="394"/>
      <c r="F80" s="394"/>
      <c r="G80" s="396"/>
      <c r="H80" s="393"/>
      <c r="I80" s="394"/>
      <c r="J80" s="394"/>
      <c r="K80" s="395"/>
      <c r="L80" s="89"/>
    </row>
    <row r="81" spans="1:12" ht="38.25" customHeight="1">
      <c r="A81" s="417"/>
      <c r="B81" s="320" t="s">
        <v>70</v>
      </c>
      <c r="C81" s="27" t="s">
        <v>38</v>
      </c>
      <c r="D81" s="385">
        <v>2752</v>
      </c>
      <c r="E81" s="386"/>
      <c r="F81" s="386"/>
      <c r="G81" s="387"/>
      <c r="H81" s="385"/>
      <c r="I81" s="386"/>
      <c r="J81" s="386"/>
      <c r="K81" s="388"/>
      <c r="L81" s="89"/>
    </row>
    <row r="82" spans="1:12" ht="33.75" customHeight="1">
      <c r="A82" s="417"/>
      <c r="B82" s="320" t="s">
        <v>71</v>
      </c>
      <c r="C82" s="27" t="s">
        <v>38</v>
      </c>
      <c r="D82" s="385">
        <v>2403</v>
      </c>
      <c r="E82" s="386"/>
      <c r="F82" s="386"/>
      <c r="G82" s="387"/>
      <c r="H82" s="385"/>
      <c r="I82" s="386"/>
      <c r="J82" s="386"/>
      <c r="K82" s="388"/>
      <c r="L82" s="89"/>
    </row>
    <row r="83" spans="1:12" ht="32.25" customHeight="1">
      <c r="A83" s="417"/>
      <c r="B83" s="320" t="s">
        <v>72</v>
      </c>
      <c r="C83" s="27" t="s">
        <v>38</v>
      </c>
      <c r="D83" s="385">
        <v>1185</v>
      </c>
      <c r="E83" s="386"/>
      <c r="F83" s="386"/>
      <c r="G83" s="387"/>
      <c r="H83" s="385"/>
      <c r="I83" s="386"/>
      <c r="J83" s="386"/>
      <c r="K83" s="388"/>
      <c r="L83" s="89"/>
    </row>
    <row r="84" spans="1:12" ht="32.25" customHeight="1">
      <c r="A84" s="417"/>
      <c r="B84" s="320" t="s">
        <v>73</v>
      </c>
      <c r="C84" s="27" t="s">
        <v>38</v>
      </c>
      <c r="D84" s="385">
        <v>1185</v>
      </c>
      <c r="E84" s="386"/>
      <c r="F84" s="386"/>
      <c r="G84" s="387"/>
      <c r="H84" s="385"/>
      <c r="I84" s="386"/>
      <c r="J84" s="386"/>
      <c r="K84" s="388"/>
      <c r="L84" s="89"/>
    </row>
    <row r="85" spans="1:12" ht="32.25" customHeight="1">
      <c r="A85" s="417"/>
      <c r="B85" s="320" t="s">
        <v>74</v>
      </c>
      <c r="C85" s="27" t="s">
        <v>38</v>
      </c>
      <c r="D85" s="385">
        <v>2333</v>
      </c>
      <c r="E85" s="386"/>
      <c r="F85" s="386"/>
      <c r="G85" s="387"/>
      <c r="H85" s="385"/>
      <c r="I85" s="386"/>
      <c r="J85" s="386"/>
      <c r="K85" s="388"/>
      <c r="L85" s="89"/>
    </row>
    <row r="86" spans="1:12" ht="32.25" customHeight="1" thickBot="1">
      <c r="A86" s="418"/>
      <c r="B86" s="321" t="s">
        <v>75</v>
      </c>
      <c r="C86" s="271" t="s">
        <v>38</v>
      </c>
      <c r="D86" s="389">
        <v>2333</v>
      </c>
      <c r="E86" s="390"/>
      <c r="F86" s="390"/>
      <c r="G86" s="391"/>
      <c r="H86" s="389"/>
      <c r="I86" s="390"/>
      <c r="J86" s="390"/>
      <c r="K86" s="392"/>
      <c r="L86" s="89"/>
    </row>
    <row r="87" spans="1:7" ht="15" customHeight="1">
      <c r="A87" s="432"/>
      <c r="B87" s="432"/>
      <c r="C87" s="432"/>
      <c r="D87" s="432"/>
      <c r="E87" s="432"/>
      <c r="F87" s="432"/>
      <c r="G87" s="432"/>
    </row>
    <row r="88" spans="1:7" ht="12.75">
      <c r="A88" s="432"/>
      <c r="B88" s="432"/>
      <c r="C88" s="432"/>
      <c r="D88" s="432"/>
      <c r="E88" s="432"/>
      <c r="F88" s="432"/>
      <c r="G88" s="432"/>
    </row>
    <row r="89" spans="1:12" ht="37.5" customHeight="1">
      <c r="A89" s="77" t="s">
        <v>162</v>
      </c>
      <c r="B89" s="433" t="s">
        <v>194</v>
      </c>
      <c r="C89" s="433"/>
      <c r="D89" s="433"/>
      <c r="E89" s="433"/>
      <c r="F89" s="433"/>
      <c r="G89" s="433"/>
      <c r="H89" s="433"/>
      <c r="I89" s="440"/>
      <c r="J89" s="440"/>
      <c r="K89" s="440"/>
      <c r="L89" s="80"/>
    </row>
    <row r="90" spans="1:12" ht="52.5" customHeight="1">
      <c r="A90" s="77" t="s">
        <v>163</v>
      </c>
      <c r="B90" s="433" t="s">
        <v>196</v>
      </c>
      <c r="C90" s="433"/>
      <c r="D90" s="433"/>
      <c r="E90" s="433"/>
      <c r="F90" s="433"/>
      <c r="G90" s="433"/>
      <c r="H90" s="433"/>
      <c r="I90" s="434"/>
      <c r="J90" s="434"/>
      <c r="K90" s="434"/>
      <c r="L90" s="25"/>
    </row>
    <row r="91" spans="1:12" ht="34.5" customHeight="1">
      <c r="A91" s="77" t="s">
        <v>198</v>
      </c>
      <c r="B91" s="433" t="s">
        <v>204</v>
      </c>
      <c r="C91" s="433"/>
      <c r="D91" s="433"/>
      <c r="E91" s="433"/>
      <c r="F91" s="433"/>
      <c r="G91" s="433"/>
      <c r="H91" s="433"/>
      <c r="I91" s="434"/>
      <c r="J91" s="434"/>
      <c r="K91" s="434"/>
      <c r="L91" s="25"/>
    </row>
    <row r="92" spans="1:12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</sheetData>
  <sheetProtection/>
  <mergeCells count="55">
    <mergeCell ref="B91:K91"/>
    <mergeCell ref="B79:K79"/>
    <mergeCell ref="A5:K5"/>
    <mergeCell ref="A6:K6"/>
    <mergeCell ref="A7:K7"/>
    <mergeCell ref="B89:K89"/>
    <mergeCell ref="A75:A86"/>
    <mergeCell ref="B90:K90"/>
    <mergeCell ref="B12:K12"/>
    <mergeCell ref="H13:I13"/>
    <mergeCell ref="H14:I14"/>
    <mergeCell ref="H15:I15"/>
    <mergeCell ref="H17:I17"/>
    <mergeCell ref="B33:K33"/>
    <mergeCell ref="A87:G88"/>
    <mergeCell ref="A49:A74"/>
    <mergeCell ref="B75:K75"/>
    <mergeCell ref="D76:G76"/>
    <mergeCell ref="D77:G77"/>
    <mergeCell ref="D78:G78"/>
    <mergeCell ref="D3:G3"/>
    <mergeCell ref="A33:A48"/>
    <mergeCell ref="D10:G10"/>
    <mergeCell ref="C9:C11"/>
    <mergeCell ref="B49:K49"/>
    <mergeCell ref="E1:H1"/>
    <mergeCell ref="D14:E14"/>
    <mergeCell ref="D15:E15"/>
    <mergeCell ref="D17:E17"/>
    <mergeCell ref="F2:H2"/>
    <mergeCell ref="O12:P12"/>
    <mergeCell ref="M13:N13"/>
    <mergeCell ref="M12:N12"/>
    <mergeCell ref="A9:A11"/>
    <mergeCell ref="B9:B11"/>
    <mergeCell ref="H10:K10"/>
    <mergeCell ref="D9:K9"/>
    <mergeCell ref="D13:E13"/>
    <mergeCell ref="H76:K76"/>
    <mergeCell ref="H77:K77"/>
    <mergeCell ref="H78:K78"/>
    <mergeCell ref="D80:G80"/>
    <mergeCell ref="H80:K80"/>
    <mergeCell ref="H81:K81"/>
    <mergeCell ref="D81:G81"/>
    <mergeCell ref="D85:G85"/>
    <mergeCell ref="H85:K85"/>
    <mergeCell ref="D86:G86"/>
    <mergeCell ref="H86:K86"/>
    <mergeCell ref="D82:G82"/>
    <mergeCell ref="H82:K82"/>
    <mergeCell ref="D83:G83"/>
    <mergeCell ref="H83:K83"/>
    <mergeCell ref="D84:G84"/>
    <mergeCell ref="H84:K84"/>
  </mergeCells>
  <printOptions horizontalCentered="1"/>
  <pageMargins left="0" right="0" top="0.31496062992125984" bottom="0.31496062992125984" header="0.31496062992125984" footer="0.31496062992125984"/>
  <pageSetup fitToHeight="2" horizontalDpi="600" verticalDpi="600" orientation="portrait" paperSize="9" scale="51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T190"/>
  <sheetViews>
    <sheetView showGridLines="0" view="pageBreakPreview" zoomScale="60" zoomScaleNormal="70" zoomScalePageLayoutView="0" workbookViewId="0" topLeftCell="A2">
      <selection activeCell="D10" sqref="D10"/>
    </sheetView>
  </sheetViews>
  <sheetFormatPr defaultColWidth="9.00390625" defaultRowHeight="12.75"/>
  <cols>
    <col min="1" max="1" width="6.625" style="7" customWidth="1"/>
    <col min="2" max="2" width="62.625" style="7" customWidth="1"/>
    <col min="3" max="3" width="18.00390625" style="7" customWidth="1"/>
    <col min="4" max="4" width="34.875" style="7" customWidth="1"/>
    <col min="5" max="5" width="40.00390625" style="7" customWidth="1"/>
    <col min="6" max="6" width="35.25390625" style="7" customWidth="1"/>
    <col min="7" max="16384" width="9.125" style="7" customWidth="1"/>
  </cols>
  <sheetData>
    <row r="1" spans="1:6" s="1" customFormat="1" ht="15.75" hidden="1">
      <c r="A1" s="10"/>
      <c r="B1" s="3"/>
      <c r="D1" s="450" t="s">
        <v>330</v>
      </c>
      <c r="E1" s="450"/>
      <c r="F1" s="450"/>
    </row>
    <row r="2" spans="1:6" s="1" customFormat="1" ht="15.75" customHeight="1">
      <c r="A2" s="10"/>
      <c r="B2" s="3"/>
      <c r="D2" s="415"/>
      <c r="E2" s="415"/>
      <c r="F2" s="415"/>
    </row>
    <row r="3" spans="1:6" s="1" customFormat="1" ht="15.75" customHeight="1">
      <c r="A3" s="10"/>
      <c r="B3" s="3"/>
      <c r="D3" s="415"/>
      <c r="E3" s="415"/>
      <c r="F3" s="415"/>
    </row>
    <row r="4" s="6" customFormat="1" ht="18">
      <c r="C4" s="7"/>
    </row>
    <row r="5" spans="1:20" ht="47.25" customHeight="1">
      <c r="A5" s="452" t="s">
        <v>331</v>
      </c>
      <c r="B5" s="452"/>
      <c r="C5" s="452"/>
      <c r="D5" s="452"/>
      <c r="E5" s="452"/>
      <c r="F5" s="452"/>
      <c r="L5" s="451"/>
      <c r="M5" s="451"/>
      <c r="N5" s="451"/>
      <c r="O5" s="451"/>
      <c r="P5" s="451"/>
      <c r="Q5" s="451"/>
      <c r="R5" s="451"/>
      <c r="S5" s="451"/>
      <c r="T5" s="451"/>
    </row>
    <row r="6" spans="1:20" ht="47.25" customHeight="1">
      <c r="A6" s="453" t="s">
        <v>332</v>
      </c>
      <c r="B6" s="453"/>
      <c r="C6" s="453"/>
      <c r="D6" s="453"/>
      <c r="E6" s="453"/>
      <c r="F6" s="453"/>
      <c r="L6" s="15"/>
      <c r="M6" s="15"/>
      <c r="N6" s="15"/>
      <c r="O6" s="15"/>
      <c r="P6" s="15"/>
      <c r="Q6" s="15"/>
      <c r="R6" s="15"/>
      <c r="S6" s="15"/>
      <c r="T6" s="15"/>
    </row>
    <row r="7" spans="1:6" ht="21" thickBot="1">
      <c r="A7" s="9"/>
      <c r="B7" s="9"/>
      <c r="C7" s="9"/>
      <c r="D7" s="9"/>
      <c r="F7" s="51" t="s">
        <v>38</v>
      </c>
    </row>
    <row r="8" spans="1:6" ht="84" customHeight="1">
      <c r="A8" s="454" t="s">
        <v>39</v>
      </c>
      <c r="B8" s="211" t="s">
        <v>40</v>
      </c>
      <c r="C8" s="212" t="s">
        <v>41</v>
      </c>
      <c r="D8" s="213" t="s">
        <v>302</v>
      </c>
      <c r="E8" s="214" t="s">
        <v>303</v>
      </c>
      <c r="F8" s="215" t="s">
        <v>304</v>
      </c>
    </row>
    <row r="9" spans="1:6" s="344" customFormat="1" ht="12.75">
      <c r="A9" s="455"/>
      <c r="B9" s="217" t="s">
        <v>305</v>
      </c>
      <c r="C9" s="217" t="s">
        <v>306</v>
      </c>
      <c r="D9" s="217" t="s">
        <v>307</v>
      </c>
      <c r="E9" s="217" t="s">
        <v>308</v>
      </c>
      <c r="F9" s="218" t="s">
        <v>309</v>
      </c>
    </row>
    <row r="10" spans="1:6" ht="58.5" customHeight="1">
      <c r="A10" s="216"/>
      <c r="B10" s="219" t="s">
        <v>17</v>
      </c>
      <c r="C10" s="220"/>
      <c r="D10" s="221">
        <f>D12+D25+D36+D142+D155+D165</f>
        <v>330485535.36173105</v>
      </c>
      <c r="E10" s="222" t="s">
        <v>43</v>
      </c>
      <c r="F10" s="223" t="s">
        <v>43</v>
      </c>
    </row>
    <row r="11" spans="1:6" ht="58.5" customHeight="1" hidden="1">
      <c r="A11" s="216"/>
      <c r="B11" s="224" t="s">
        <v>310</v>
      </c>
      <c r="C11" s="220"/>
      <c r="D11" s="225">
        <f>E11*F11</f>
        <v>1869527.1</v>
      </c>
      <c r="E11" s="225">
        <f>'[2]Приложение 4 (производство)'!B337</f>
        <v>4011</v>
      </c>
      <c r="F11" s="223">
        <v>466.1</v>
      </c>
    </row>
    <row r="12" spans="1:6" ht="70.5" customHeight="1">
      <c r="A12" s="226">
        <v>1</v>
      </c>
      <c r="B12" s="219" t="s">
        <v>311</v>
      </c>
      <c r="C12" s="219"/>
      <c r="D12" s="221">
        <f>SUM(D14:D23)</f>
        <v>8962049.10407469</v>
      </c>
      <c r="E12" s="221">
        <f>SUM(E14:E23)</f>
        <v>38552.286</v>
      </c>
      <c r="F12" s="227">
        <f aca="true" t="shared" si="0" ref="F12:F35">D12/E12</f>
        <v>232.46479090953753</v>
      </c>
    </row>
    <row r="13" spans="1:6" ht="26.25" customHeight="1">
      <c r="A13" s="226" t="s">
        <v>23</v>
      </c>
      <c r="B13" s="219" t="s">
        <v>113</v>
      </c>
      <c r="C13" s="219"/>
      <c r="D13" s="221"/>
      <c r="E13" s="221"/>
      <c r="F13" s="227"/>
    </row>
    <row r="14" spans="1:6" ht="40.5">
      <c r="A14" s="216"/>
      <c r="B14" s="224" t="s">
        <v>312</v>
      </c>
      <c r="C14" s="228"/>
      <c r="D14" s="229">
        <f>'[2]Таблица 7 .1'!R15</f>
        <v>3505553.9997590655</v>
      </c>
      <c r="E14" s="229">
        <f>'[2]Приложение 4 (производство)'!C340</f>
        <v>2949.25</v>
      </c>
      <c r="F14" s="223">
        <f t="shared" si="0"/>
        <v>1188.6255826935883</v>
      </c>
    </row>
    <row r="15" spans="1:6" ht="34.5" customHeight="1">
      <c r="A15" s="216"/>
      <c r="B15" s="230" t="s">
        <v>49</v>
      </c>
      <c r="C15" s="228">
        <v>0.4</v>
      </c>
      <c r="D15" s="229">
        <f>'[2]Таблица 7 .1'!S15</f>
        <v>758554.2770935481</v>
      </c>
      <c r="E15" s="229">
        <f>'[2]Приложение 4 (производство)'!C344</f>
        <v>4400.93</v>
      </c>
      <c r="F15" s="223">
        <f t="shared" si="0"/>
        <v>172.3622682236591</v>
      </c>
    </row>
    <row r="16" spans="1:6" ht="34.5" customHeight="1">
      <c r="A16" s="216"/>
      <c r="B16" s="230" t="s">
        <v>50</v>
      </c>
      <c r="C16" s="231" t="s">
        <v>15</v>
      </c>
      <c r="D16" s="229">
        <f>'[2]Таблица 7 .1'!U15</f>
        <v>1866779.307874441</v>
      </c>
      <c r="E16" s="229">
        <f>'[2]Приложение 4 (производство)'!C346</f>
        <v>6239.75</v>
      </c>
      <c r="F16" s="223">
        <f t="shared" si="0"/>
        <v>299.1753368122827</v>
      </c>
    </row>
    <row r="17" spans="1:6" ht="36.75" customHeight="1">
      <c r="A17" s="216"/>
      <c r="B17" s="230" t="s">
        <v>51</v>
      </c>
      <c r="C17" s="228">
        <v>0.4</v>
      </c>
      <c r="D17" s="229">
        <f>'[2]Таблица 7 .1'!T15</f>
        <v>82716.28557252046</v>
      </c>
      <c r="E17" s="229">
        <f>'[2]Приложение 4 (производство)'!C349</f>
        <v>1496.93</v>
      </c>
      <c r="F17" s="223">
        <f t="shared" si="0"/>
        <v>55.25728362216032</v>
      </c>
    </row>
    <row r="18" spans="1:6" ht="32.25" customHeight="1">
      <c r="A18" s="216"/>
      <c r="B18" s="230" t="s">
        <v>52</v>
      </c>
      <c r="C18" s="231" t="s">
        <v>15</v>
      </c>
      <c r="D18" s="229">
        <f>'[2]Таблица 7 .1'!V15</f>
        <v>1546356.4816425669</v>
      </c>
      <c r="E18" s="232">
        <f>'[2]Приложение 4 (производство)'!C350</f>
        <v>10220.426</v>
      </c>
      <c r="F18" s="223">
        <f t="shared" si="0"/>
        <v>151.3005897838864</v>
      </c>
    </row>
    <row r="19" spans="1:6" ht="33" customHeight="1">
      <c r="A19" s="233"/>
      <c r="B19" s="224" t="s">
        <v>46</v>
      </c>
      <c r="C19" s="231" t="s">
        <v>15</v>
      </c>
      <c r="D19" s="229">
        <f>'[2]Таблица 7 .1'!W15</f>
        <v>683064.6436812106</v>
      </c>
      <c r="E19" s="232">
        <f>'[2]Приложение 4 (производство)'!C354</f>
        <v>7585</v>
      </c>
      <c r="F19" s="223">
        <f t="shared" si="0"/>
        <v>90.05466627306666</v>
      </c>
    </row>
    <row r="20" spans="1:6" ht="33" customHeight="1">
      <c r="A20" s="233"/>
      <c r="B20" s="230" t="s">
        <v>52</v>
      </c>
      <c r="C20" s="231" t="s">
        <v>83</v>
      </c>
      <c r="D20" s="229">
        <f>'[2]Таблица 7 .1'!X15</f>
        <v>264198.23404325044</v>
      </c>
      <c r="E20" s="232">
        <f>'[2]Приложение 4 (производство)'!C351</f>
        <v>2690</v>
      </c>
      <c r="F20" s="223">
        <f t="shared" si="0"/>
        <v>98.21495689340165</v>
      </c>
    </row>
    <row r="21" spans="1:6" ht="33" customHeight="1">
      <c r="A21" s="233"/>
      <c r="B21" s="224" t="s">
        <v>46</v>
      </c>
      <c r="C21" s="231" t="s">
        <v>83</v>
      </c>
      <c r="D21" s="229">
        <f>'[2]Таблица 7 .1'!Y15</f>
        <v>53092.420913590075</v>
      </c>
      <c r="E21" s="232">
        <f>'[2]Приложение 4 (производство)'!C355</f>
        <v>800</v>
      </c>
      <c r="F21" s="223">
        <f t="shared" si="0"/>
        <v>66.36552614198759</v>
      </c>
    </row>
    <row r="22" spans="1:6" ht="33" customHeight="1">
      <c r="A22" s="233"/>
      <c r="B22" s="230" t="s">
        <v>52</v>
      </c>
      <c r="C22" s="231" t="s">
        <v>84</v>
      </c>
      <c r="D22" s="229">
        <f>'[2]Таблица 7 .1'!Z15</f>
        <v>99855.63032749009</v>
      </c>
      <c r="E22" s="232">
        <f>'[2]Приложение 4 (производство)'!C352</f>
        <v>670</v>
      </c>
      <c r="F22" s="223">
        <f t="shared" si="0"/>
        <v>149.03825422013446</v>
      </c>
    </row>
    <row r="23" spans="1:6" ht="33" customHeight="1">
      <c r="A23" s="233"/>
      <c r="B23" s="224" t="s">
        <v>46</v>
      </c>
      <c r="C23" s="231" t="s">
        <v>84</v>
      </c>
      <c r="D23" s="229">
        <f>'[2]Таблица 7 .1'!AA15</f>
        <v>101877.82316701008</v>
      </c>
      <c r="E23" s="232">
        <f>'[2]Приложение 4 (производство)'!C356</f>
        <v>1500</v>
      </c>
      <c r="F23" s="223">
        <f t="shared" si="0"/>
        <v>67.91854877800672</v>
      </c>
    </row>
    <row r="24" spans="1:6" ht="33" customHeight="1">
      <c r="A24" s="234" t="s">
        <v>24</v>
      </c>
      <c r="B24" s="235" t="s">
        <v>313</v>
      </c>
      <c r="C24" s="231"/>
      <c r="D24" s="229"/>
      <c r="E24" s="232"/>
      <c r="F24" s="223"/>
    </row>
    <row r="25" spans="1:6" ht="60.75">
      <c r="A25" s="234" t="s">
        <v>42</v>
      </c>
      <c r="B25" s="219" t="s">
        <v>314</v>
      </c>
      <c r="C25" s="219"/>
      <c r="D25" s="225"/>
      <c r="E25" s="225">
        <f>E26+E27+E28+E29+E30+E31</f>
        <v>32892.286</v>
      </c>
      <c r="F25" s="223">
        <f t="shared" si="0"/>
        <v>0</v>
      </c>
    </row>
    <row r="26" spans="1:6" ht="45.75" customHeight="1">
      <c r="A26" s="233"/>
      <c r="B26" s="224" t="s">
        <v>315</v>
      </c>
      <c r="C26" s="224"/>
      <c r="D26" s="229"/>
      <c r="E26" s="229">
        <f aca="true" t="shared" si="1" ref="E26:E35">E14</f>
        <v>2949.25</v>
      </c>
      <c r="F26" s="223">
        <f t="shared" si="0"/>
        <v>0</v>
      </c>
    </row>
    <row r="27" spans="1:6" ht="33" customHeight="1">
      <c r="A27" s="233"/>
      <c r="B27" s="230" t="s">
        <v>49</v>
      </c>
      <c r="C27" s="228">
        <v>0.4</v>
      </c>
      <c r="D27" s="229"/>
      <c r="E27" s="229">
        <f t="shared" si="1"/>
        <v>4400.93</v>
      </c>
      <c r="F27" s="223">
        <f t="shared" si="0"/>
        <v>0</v>
      </c>
    </row>
    <row r="28" spans="1:6" ht="36" customHeight="1">
      <c r="A28" s="233"/>
      <c r="B28" s="230" t="s">
        <v>50</v>
      </c>
      <c r="C28" s="231" t="s">
        <v>15</v>
      </c>
      <c r="D28" s="229"/>
      <c r="E28" s="229">
        <f t="shared" si="1"/>
        <v>6239.75</v>
      </c>
      <c r="F28" s="223">
        <f t="shared" si="0"/>
        <v>0</v>
      </c>
    </row>
    <row r="29" spans="1:6" ht="39" customHeight="1">
      <c r="A29" s="233"/>
      <c r="B29" s="230" t="s">
        <v>51</v>
      </c>
      <c r="C29" s="228">
        <v>0.4</v>
      </c>
      <c r="D29" s="229"/>
      <c r="E29" s="229">
        <f t="shared" si="1"/>
        <v>1496.93</v>
      </c>
      <c r="F29" s="223">
        <f t="shared" si="0"/>
        <v>0</v>
      </c>
    </row>
    <row r="30" spans="1:6" ht="36.75" customHeight="1">
      <c r="A30" s="233"/>
      <c r="B30" s="230" t="s">
        <v>52</v>
      </c>
      <c r="C30" s="231" t="s">
        <v>15</v>
      </c>
      <c r="D30" s="229"/>
      <c r="E30" s="229">
        <f t="shared" si="1"/>
        <v>10220.426</v>
      </c>
      <c r="F30" s="223">
        <f t="shared" si="0"/>
        <v>0</v>
      </c>
    </row>
    <row r="31" spans="1:6" ht="30.75" customHeight="1">
      <c r="A31" s="233"/>
      <c r="B31" s="224" t="s">
        <v>46</v>
      </c>
      <c r="C31" s="231" t="s">
        <v>15</v>
      </c>
      <c r="D31" s="229"/>
      <c r="E31" s="229">
        <f t="shared" si="1"/>
        <v>7585</v>
      </c>
      <c r="F31" s="223">
        <f t="shared" si="0"/>
        <v>0</v>
      </c>
    </row>
    <row r="32" spans="1:6" ht="30.75" customHeight="1">
      <c r="A32" s="233"/>
      <c r="B32" s="230" t="s">
        <v>52</v>
      </c>
      <c r="C32" s="231" t="s">
        <v>83</v>
      </c>
      <c r="D32" s="229"/>
      <c r="E32" s="229">
        <f t="shared" si="1"/>
        <v>2690</v>
      </c>
      <c r="F32" s="223">
        <f t="shared" si="0"/>
        <v>0</v>
      </c>
    </row>
    <row r="33" spans="1:6" ht="30.75" customHeight="1">
      <c r="A33" s="233"/>
      <c r="B33" s="224" t="s">
        <v>46</v>
      </c>
      <c r="C33" s="231" t="s">
        <v>83</v>
      </c>
      <c r="D33" s="229"/>
      <c r="E33" s="229">
        <f t="shared" si="1"/>
        <v>800</v>
      </c>
      <c r="F33" s="223">
        <f t="shared" si="0"/>
        <v>0</v>
      </c>
    </row>
    <row r="34" spans="1:6" ht="30.75" customHeight="1">
      <c r="A34" s="233"/>
      <c r="B34" s="230" t="s">
        <v>52</v>
      </c>
      <c r="C34" s="231" t="s">
        <v>84</v>
      </c>
      <c r="D34" s="229"/>
      <c r="E34" s="229">
        <f t="shared" si="1"/>
        <v>670</v>
      </c>
      <c r="F34" s="223">
        <f t="shared" si="0"/>
        <v>0</v>
      </c>
    </row>
    <row r="35" spans="1:6" ht="30.75" customHeight="1">
      <c r="A35" s="233"/>
      <c r="B35" s="224" t="s">
        <v>46</v>
      </c>
      <c r="C35" s="231" t="s">
        <v>84</v>
      </c>
      <c r="D35" s="229"/>
      <c r="E35" s="229">
        <f t="shared" si="1"/>
        <v>1500</v>
      </c>
      <c r="F35" s="223">
        <f t="shared" si="0"/>
        <v>0</v>
      </c>
    </row>
    <row r="36" spans="1:6" ht="60.75">
      <c r="A36" s="226">
        <v>3</v>
      </c>
      <c r="B36" s="219" t="s">
        <v>316</v>
      </c>
      <c r="C36" s="219"/>
      <c r="D36" s="221">
        <f>D47+D78+D109+D120+D131</f>
        <v>305541195.6505731</v>
      </c>
      <c r="E36" s="225" t="s">
        <v>43</v>
      </c>
      <c r="F36" s="223" t="s">
        <v>43</v>
      </c>
    </row>
    <row r="37" spans="1:6" ht="40.5">
      <c r="A37" s="216"/>
      <c r="B37" s="224" t="s">
        <v>195</v>
      </c>
      <c r="C37" s="228"/>
      <c r="D37" s="225" t="s">
        <v>43</v>
      </c>
      <c r="E37" s="225" t="s">
        <v>43</v>
      </c>
      <c r="F37" s="223" t="s">
        <v>43</v>
      </c>
    </row>
    <row r="38" spans="1:6" ht="30.75" customHeight="1">
      <c r="A38" s="216"/>
      <c r="B38" s="230" t="s">
        <v>49</v>
      </c>
      <c r="C38" s="228">
        <v>0.4</v>
      </c>
      <c r="D38" s="225" t="s">
        <v>43</v>
      </c>
      <c r="E38" s="225" t="s">
        <v>43</v>
      </c>
      <c r="F38" s="223" t="s">
        <v>43</v>
      </c>
    </row>
    <row r="39" spans="1:6" ht="29.25" customHeight="1">
      <c r="A39" s="216"/>
      <c r="B39" s="230" t="s">
        <v>50</v>
      </c>
      <c r="C39" s="231" t="s">
        <v>15</v>
      </c>
      <c r="D39" s="225" t="s">
        <v>43</v>
      </c>
      <c r="E39" s="225" t="s">
        <v>43</v>
      </c>
      <c r="F39" s="223" t="s">
        <v>43</v>
      </c>
    </row>
    <row r="40" spans="1:6" ht="33.75" customHeight="1">
      <c r="A40" s="216"/>
      <c r="B40" s="230" t="s">
        <v>51</v>
      </c>
      <c r="C40" s="228">
        <v>0.4</v>
      </c>
      <c r="D40" s="225" t="s">
        <v>43</v>
      </c>
      <c r="E40" s="225" t="s">
        <v>43</v>
      </c>
      <c r="F40" s="223" t="s">
        <v>43</v>
      </c>
    </row>
    <row r="41" spans="1:6" ht="33" customHeight="1">
      <c r="A41" s="216"/>
      <c r="B41" s="230" t="s">
        <v>52</v>
      </c>
      <c r="C41" s="231" t="s">
        <v>15</v>
      </c>
      <c r="D41" s="225" t="s">
        <v>43</v>
      </c>
      <c r="E41" s="225" t="s">
        <v>43</v>
      </c>
      <c r="F41" s="223" t="s">
        <v>43</v>
      </c>
    </row>
    <row r="42" spans="1:6" ht="30.75" customHeight="1">
      <c r="A42" s="233"/>
      <c r="B42" s="224" t="s">
        <v>46</v>
      </c>
      <c r="C42" s="231" t="s">
        <v>15</v>
      </c>
      <c r="D42" s="225" t="s">
        <v>43</v>
      </c>
      <c r="E42" s="225" t="s">
        <v>43</v>
      </c>
      <c r="F42" s="223" t="s">
        <v>43</v>
      </c>
    </row>
    <row r="43" spans="1:6" ht="30.75" customHeight="1">
      <c r="A43" s="233"/>
      <c r="B43" s="230" t="s">
        <v>52</v>
      </c>
      <c r="C43" s="231" t="s">
        <v>83</v>
      </c>
      <c r="D43" s="225" t="s">
        <v>43</v>
      </c>
      <c r="E43" s="225" t="s">
        <v>43</v>
      </c>
      <c r="F43" s="223" t="s">
        <v>43</v>
      </c>
    </row>
    <row r="44" spans="1:6" ht="30.75" customHeight="1">
      <c r="A44" s="233"/>
      <c r="B44" s="224" t="s">
        <v>46</v>
      </c>
      <c r="C44" s="231" t="s">
        <v>83</v>
      </c>
      <c r="D44" s="225" t="s">
        <v>43</v>
      </c>
      <c r="E44" s="225" t="s">
        <v>43</v>
      </c>
      <c r="F44" s="223" t="s">
        <v>43</v>
      </c>
    </row>
    <row r="45" spans="1:6" ht="30.75" customHeight="1">
      <c r="A45" s="233"/>
      <c r="B45" s="230" t="s">
        <v>52</v>
      </c>
      <c r="C45" s="231" t="s">
        <v>84</v>
      </c>
      <c r="D45" s="225" t="s">
        <v>43</v>
      </c>
      <c r="E45" s="225" t="s">
        <v>43</v>
      </c>
      <c r="F45" s="223" t="s">
        <v>43</v>
      </c>
    </row>
    <row r="46" spans="1:6" ht="30.75" customHeight="1">
      <c r="A46" s="233"/>
      <c r="B46" s="224" t="s">
        <v>46</v>
      </c>
      <c r="C46" s="231" t="s">
        <v>84</v>
      </c>
      <c r="D46" s="225" t="s">
        <v>43</v>
      </c>
      <c r="E46" s="225" t="s">
        <v>43</v>
      </c>
      <c r="F46" s="223" t="s">
        <v>43</v>
      </c>
    </row>
    <row r="47" spans="1:6" ht="41.25" customHeight="1">
      <c r="A47" s="226" t="s">
        <v>33</v>
      </c>
      <c r="B47" s="219" t="s">
        <v>182</v>
      </c>
      <c r="C47" s="219" t="s">
        <v>18</v>
      </c>
      <c r="D47" s="221">
        <f>SUM(D48:D75)</f>
        <v>114731212.08388124</v>
      </c>
      <c r="E47" s="221">
        <f>SUM(E48:E75)</f>
        <v>10583.34375</v>
      </c>
      <c r="F47" s="227">
        <f>D47/E47</f>
        <v>10840.733778857108</v>
      </c>
    </row>
    <row r="48" spans="1:6" ht="40.5">
      <c r="A48" s="216"/>
      <c r="B48" s="236" t="s">
        <v>312</v>
      </c>
      <c r="C48" s="237"/>
      <c r="D48" s="238"/>
      <c r="E48" s="239"/>
      <c r="F48" s="240"/>
    </row>
    <row r="49" spans="1:6" ht="20.25">
      <c r="A49" s="216"/>
      <c r="B49" s="42" t="s">
        <v>85</v>
      </c>
      <c r="C49" s="241"/>
      <c r="D49" s="242"/>
      <c r="E49" s="243"/>
      <c r="F49" s="244"/>
    </row>
    <row r="50" spans="1:6" ht="20.25">
      <c r="A50" s="216"/>
      <c r="B50" s="43" t="s">
        <v>86</v>
      </c>
      <c r="C50" s="245"/>
      <c r="D50" s="246">
        <f>'[2]Приложение 8 инвест за 3 года '!AN32-'[2]Приложение 8 инвест за 3 года '!AO35+'[2]Приложение 8 инвест за 3 года '!AN45-'[2]Приложение 8 инвест за 3 года '!AO45</f>
        <v>546386.47903125</v>
      </c>
      <c r="E50" s="247">
        <f>'[2]Приложение 8 инвест за 3 года '!AH45-(0.75*'[2]Приложение 8 инвест за 3 года '!AH45/2)</f>
        <v>89</v>
      </c>
      <c r="F50" s="248">
        <f>D50/E50</f>
        <v>6139.173921699438</v>
      </c>
    </row>
    <row r="51" spans="1:6" ht="20.25">
      <c r="A51" s="216"/>
      <c r="B51" s="249" t="s">
        <v>49</v>
      </c>
      <c r="C51" s="237">
        <v>0.4</v>
      </c>
      <c r="D51" s="238"/>
      <c r="E51" s="239"/>
      <c r="F51" s="240"/>
    </row>
    <row r="52" spans="1:6" ht="20.25">
      <c r="A52" s="216"/>
      <c r="B52" s="42" t="s">
        <v>85</v>
      </c>
      <c r="C52" s="241">
        <v>0.4</v>
      </c>
      <c r="D52" s="242"/>
      <c r="E52" s="243"/>
      <c r="F52" s="244"/>
    </row>
    <row r="53" spans="1:6" ht="20.25">
      <c r="A53" s="216"/>
      <c r="B53" s="43" t="s">
        <v>86</v>
      </c>
      <c r="C53" s="245">
        <v>0.4</v>
      </c>
      <c r="D53" s="246">
        <f>'[2]Приложение 8 инвест за 3 года '!AN55-'[2]Приложение 8 инвест за 3 года '!AO55</f>
        <v>6444936.122625</v>
      </c>
      <c r="E53" s="247">
        <f>'[2]Приложение 8 инвест за 3 года '!V55+'[2]Приложение 8 инвест за 3 года '!Z55+'[2]Приложение 8 инвест за 3 года '!AD55+'[2]Приложение 8 инвест за 3 года '!AH55-(0.75*('[2]Приложение 8 инвест за 3 года '!V55+'[2]Приложение 8 инвест за 3 года '!Z55+'[2]Приложение 8 инвест за 3 года '!AD55+'[2]Приложение 8 инвест за 3 года '!AH55)/2)</f>
        <v>583.25</v>
      </c>
      <c r="F53" s="248">
        <f>D53/E53</f>
        <v>11050.040501714531</v>
      </c>
    </row>
    <row r="54" spans="1:6" ht="20.25">
      <c r="A54" s="216"/>
      <c r="B54" s="249" t="s">
        <v>50</v>
      </c>
      <c r="C54" s="250" t="s">
        <v>15</v>
      </c>
      <c r="D54" s="238"/>
      <c r="E54" s="239"/>
      <c r="F54" s="240"/>
    </row>
    <row r="55" spans="1:6" ht="20.25">
      <c r="A55" s="216"/>
      <c r="B55" s="42" t="s">
        <v>85</v>
      </c>
      <c r="C55" s="251" t="s">
        <v>15</v>
      </c>
      <c r="D55" s="242"/>
      <c r="E55" s="243"/>
      <c r="F55" s="244"/>
    </row>
    <row r="56" spans="1:6" ht="20.25">
      <c r="A56" s="216"/>
      <c r="B56" s="43" t="s">
        <v>86</v>
      </c>
      <c r="C56" s="252" t="s">
        <v>15</v>
      </c>
      <c r="D56" s="246">
        <f>'[2]Приложение 8 инвест за 3 года '!AN62-'[2]Приложение 8 инвест за 3 года '!AO63</f>
        <v>987422.2751250002</v>
      </c>
      <c r="E56" s="247">
        <f>('[2]Приложение 8 инвест за 3 года '!V65+'[2]Приложение 8 инвест за 3 года '!Z65+'[2]Приложение 8 инвест за 3 года '!AD65+'[2]Приложение 8 инвест за 3 года '!AH65)-(0.75*('[2]Приложение 8 инвест за 3 года '!V65+'[2]Приложение 8 инвест за 3 года '!Z65+'[2]Приложение 8 инвест за 3 года '!AD65+'[2]Приложение 8 инвест за 3 года '!AH65)/2)</f>
        <v>391.04375000000005</v>
      </c>
      <c r="F56" s="248">
        <f>D56/E56</f>
        <v>2525.0941234196944</v>
      </c>
    </row>
    <row r="57" spans="1:6" ht="20.25">
      <c r="A57" s="216"/>
      <c r="B57" s="249" t="s">
        <v>51</v>
      </c>
      <c r="C57" s="237">
        <v>0.4</v>
      </c>
      <c r="D57" s="238"/>
      <c r="E57" s="239"/>
      <c r="F57" s="240"/>
    </row>
    <row r="58" spans="1:6" ht="20.25">
      <c r="A58" s="216"/>
      <c r="B58" s="42" t="s">
        <v>85</v>
      </c>
      <c r="C58" s="241">
        <v>0.4</v>
      </c>
      <c r="D58" s="242"/>
      <c r="E58" s="243"/>
      <c r="F58" s="244"/>
    </row>
    <row r="59" spans="1:6" ht="20.25">
      <c r="A59" s="216"/>
      <c r="B59" s="43" t="s">
        <v>86</v>
      </c>
      <c r="C59" s="245">
        <v>0.4</v>
      </c>
      <c r="D59" s="246">
        <f>'[2]Приложение 8 инвест за 3 года '!AN75</f>
        <v>896937.0695999999</v>
      </c>
      <c r="E59" s="247">
        <f>'[2]Приложение 8 инвест за 3 года '!V75+'[2]Приложение 8 инвест за 3 года '!Z75+'[2]Приложение 8 инвест за 3 года '!AD75+'[2]Приложение 8 инвест за 3 года '!AH75</f>
        <v>0</v>
      </c>
      <c r="F59" s="248" t="e">
        <f>D59/E59</f>
        <v>#DIV/0!</v>
      </c>
    </row>
    <row r="60" spans="1:6" ht="20.25">
      <c r="A60" s="216"/>
      <c r="B60" s="249" t="s">
        <v>52</v>
      </c>
      <c r="C60" s="250" t="s">
        <v>15</v>
      </c>
      <c r="D60" s="238"/>
      <c r="E60" s="239"/>
      <c r="F60" s="240"/>
    </row>
    <row r="61" spans="1:6" ht="20.25">
      <c r="A61" s="216"/>
      <c r="B61" s="42" t="s">
        <v>85</v>
      </c>
      <c r="C61" s="251" t="s">
        <v>15</v>
      </c>
      <c r="D61" s="242"/>
      <c r="E61" s="243"/>
      <c r="F61" s="244"/>
    </row>
    <row r="62" spans="1:6" ht="20.25">
      <c r="A62" s="216"/>
      <c r="B62" s="43" t="s">
        <v>86</v>
      </c>
      <c r="C62" s="252" t="s">
        <v>15</v>
      </c>
      <c r="D62" s="246">
        <f>'[2]Приложение 8 инвест за 3 года '!AN85</f>
        <v>24595070.857499998</v>
      </c>
      <c r="E62" s="247">
        <f>'[2]Приложение 8 инвест за 3 года '!V85+'[2]Приложение 8 инвест за 3 года '!Z85+'[2]Приложение 8 инвест за 3 года '!AD85+'[2]Приложение 8 инвест за 3 года '!AH85</f>
        <v>4104.05</v>
      </c>
      <c r="F62" s="248">
        <f>D62/E62</f>
        <v>5992.877976023683</v>
      </c>
    </row>
    <row r="63" spans="1:6" ht="20.25">
      <c r="A63" s="233"/>
      <c r="B63" s="236" t="s">
        <v>46</v>
      </c>
      <c r="C63" s="250" t="s">
        <v>15</v>
      </c>
      <c r="D63" s="238"/>
      <c r="E63" s="239"/>
      <c r="F63" s="240"/>
    </row>
    <row r="64" spans="1:6" ht="20.25">
      <c r="A64" s="233"/>
      <c r="B64" s="42" t="s">
        <v>85</v>
      </c>
      <c r="C64" s="251" t="s">
        <v>15</v>
      </c>
      <c r="D64" s="242"/>
      <c r="E64" s="243"/>
      <c r="F64" s="244"/>
    </row>
    <row r="65" spans="1:6" ht="20.25">
      <c r="A65" s="233"/>
      <c r="B65" s="43" t="s">
        <v>86</v>
      </c>
      <c r="C65" s="252" t="s">
        <v>15</v>
      </c>
      <c r="D65" s="246">
        <f>'[2]Приложение 8 инвест за 3 года '!AN115</f>
        <v>81260459.28</v>
      </c>
      <c r="E65" s="247">
        <f>'[2]Приложение 8 инвест за 3 года '!V115+'[2]Приложение 8 инвест за 3 года '!Z115+'[2]Приложение 8 инвест за 3 года '!AD115+'[2]Приложение 8 инвест за 3 года '!AH115</f>
        <v>5416</v>
      </c>
      <c r="F65" s="248">
        <f>D65/E65</f>
        <v>15003.777562776957</v>
      </c>
    </row>
    <row r="66" spans="1:6" ht="20.25">
      <c r="A66" s="233"/>
      <c r="B66" s="249" t="s">
        <v>52</v>
      </c>
      <c r="C66" s="250" t="s">
        <v>83</v>
      </c>
      <c r="D66" s="238"/>
      <c r="E66" s="239"/>
      <c r="F66" s="240"/>
    </row>
    <row r="67" spans="1:6" ht="20.25">
      <c r="A67" s="233"/>
      <c r="B67" s="42" t="s">
        <v>85</v>
      </c>
      <c r="C67" s="251" t="s">
        <v>83</v>
      </c>
      <c r="D67" s="242"/>
      <c r="E67" s="243"/>
      <c r="F67" s="244"/>
    </row>
    <row r="68" spans="1:6" ht="20.25">
      <c r="A68" s="233"/>
      <c r="B68" s="43" t="s">
        <v>86</v>
      </c>
      <c r="C68" s="252" t="s">
        <v>83</v>
      </c>
      <c r="D68" s="246"/>
      <c r="E68" s="247"/>
      <c r="F68" s="248"/>
    </row>
    <row r="69" spans="1:6" ht="20.25">
      <c r="A69" s="233"/>
      <c r="B69" s="236" t="s">
        <v>46</v>
      </c>
      <c r="C69" s="250" t="s">
        <v>83</v>
      </c>
      <c r="D69" s="238"/>
      <c r="E69" s="239"/>
      <c r="F69" s="240"/>
    </row>
    <row r="70" spans="1:6" ht="20.25">
      <c r="A70" s="233"/>
      <c r="B70" s="42" t="s">
        <v>85</v>
      </c>
      <c r="C70" s="251" t="s">
        <v>83</v>
      </c>
      <c r="D70" s="242"/>
      <c r="E70" s="243"/>
      <c r="F70" s="244"/>
    </row>
    <row r="71" spans="1:6" ht="20.25">
      <c r="A71" s="233"/>
      <c r="B71" s="43" t="s">
        <v>86</v>
      </c>
      <c r="C71" s="252" t="s">
        <v>83</v>
      </c>
      <c r="D71" s="246"/>
      <c r="E71" s="247"/>
      <c r="F71" s="248"/>
    </row>
    <row r="72" spans="1:6" ht="20.25">
      <c r="A72" s="233"/>
      <c r="B72" s="249" t="s">
        <v>52</v>
      </c>
      <c r="C72" s="250" t="s">
        <v>84</v>
      </c>
      <c r="D72" s="238"/>
      <c r="E72" s="239"/>
      <c r="F72" s="240"/>
    </row>
    <row r="73" spans="1:6" ht="20.25">
      <c r="A73" s="233"/>
      <c r="B73" s="42" t="s">
        <v>85</v>
      </c>
      <c r="C73" s="251" t="s">
        <v>84</v>
      </c>
      <c r="D73" s="242"/>
      <c r="E73" s="243"/>
      <c r="F73" s="244"/>
    </row>
    <row r="74" spans="1:6" ht="20.25">
      <c r="A74" s="233"/>
      <c r="B74" s="43" t="s">
        <v>86</v>
      </c>
      <c r="C74" s="252" t="s">
        <v>84</v>
      </c>
      <c r="D74" s="246"/>
      <c r="E74" s="247"/>
      <c r="F74" s="248"/>
    </row>
    <row r="75" spans="1:6" ht="20.25">
      <c r="A75" s="233"/>
      <c r="B75" s="236" t="s">
        <v>46</v>
      </c>
      <c r="C75" s="250" t="s">
        <v>84</v>
      </c>
      <c r="D75" s="238"/>
      <c r="E75" s="239"/>
      <c r="F75" s="240"/>
    </row>
    <row r="76" spans="1:6" ht="20.25">
      <c r="A76" s="233"/>
      <c r="B76" s="42" t="s">
        <v>85</v>
      </c>
      <c r="C76" s="251" t="s">
        <v>84</v>
      </c>
      <c r="D76" s="242"/>
      <c r="E76" s="243"/>
      <c r="F76" s="244"/>
    </row>
    <row r="77" spans="1:6" ht="20.25">
      <c r="A77" s="233"/>
      <c r="B77" s="43" t="s">
        <v>86</v>
      </c>
      <c r="C77" s="252" t="s">
        <v>84</v>
      </c>
      <c r="D77" s="246"/>
      <c r="E77" s="247"/>
      <c r="F77" s="248"/>
    </row>
    <row r="78" spans="1:6" ht="40.5" customHeight="1">
      <c r="A78" s="226" t="s">
        <v>34</v>
      </c>
      <c r="B78" s="219" t="s">
        <v>152</v>
      </c>
      <c r="C78" s="219" t="s">
        <v>18</v>
      </c>
      <c r="D78" s="221">
        <f>SUM(D79:D106)</f>
        <v>13068614.0508</v>
      </c>
      <c r="E78" s="221">
        <f>SUM(E79:E106)</f>
        <v>0</v>
      </c>
      <c r="F78" s="227" t="e">
        <f>D78/E78</f>
        <v>#DIV/0!</v>
      </c>
    </row>
    <row r="79" spans="1:6" ht="40.5">
      <c r="A79" s="216"/>
      <c r="B79" s="236" t="s">
        <v>312</v>
      </c>
      <c r="C79" s="237"/>
      <c r="D79" s="238"/>
      <c r="E79" s="239"/>
      <c r="F79" s="240"/>
    </row>
    <row r="80" spans="1:6" ht="20.25">
      <c r="A80" s="216"/>
      <c r="B80" s="42" t="s">
        <v>87</v>
      </c>
      <c r="C80" s="241"/>
      <c r="D80" s="242"/>
      <c r="E80" s="243"/>
      <c r="F80" s="244"/>
    </row>
    <row r="81" spans="1:6" ht="20.25">
      <c r="A81" s="216"/>
      <c r="B81" s="43" t="s">
        <v>88</v>
      </c>
      <c r="C81" s="245"/>
      <c r="D81" s="246"/>
      <c r="E81" s="247"/>
      <c r="F81" s="248"/>
    </row>
    <row r="82" spans="1:6" ht="20.25">
      <c r="A82" s="216"/>
      <c r="B82" s="249" t="s">
        <v>49</v>
      </c>
      <c r="C82" s="237">
        <v>0.4</v>
      </c>
      <c r="D82" s="238"/>
      <c r="E82" s="239"/>
      <c r="F82" s="240"/>
    </row>
    <row r="83" spans="1:6" ht="20.25">
      <c r="A83" s="216"/>
      <c r="B83" s="42" t="s">
        <v>87</v>
      </c>
      <c r="C83" s="241">
        <v>0.4</v>
      </c>
      <c r="D83" s="242"/>
      <c r="E83" s="243"/>
      <c r="F83" s="244"/>
    </row>
    <row r="84" spans="1:6" ht="20.25">
      <c r="A84" s="216"/>
      <c r="B84" s="43" t="s">
        <v>88</v>
      </c>
      <c r="C84" s="245">
        <v>0.4</v>
      </c>
      <c r="D84" s="246">
        <f>'[2]Приложение 8 инвест за 3 года '!AN58/2</f>
        <v>0</v>
      </c>
      <c r="E84" s="247">
        <f>('[2]Приложение 8 инвест за 3 года '!V58+'[2]Приложение 8 инвест за 3 года '!Z58+'[2]Приложение 8 инвест за 3 года '!AD58+'[2]Приложение 8 инвест за 3 года '!AH58)/2</f>
        <v>0</v>
      </c>
      <c r="F84" s="248" t="e">
        <f>D84/E84</f>
        <v>#DIV/0!</v>
      </c>
    </row>
    <row r="85" spans="1:6" ht="20.25">
      <c r="A85" s="216"/>
      <c r="B85" s="249" t="s">
        <v>50</v>
      </c>
      <c r="C85" s="250" t="s">
        <v>15</v>
      </c>
      <c r="D85" s="238"/>
      <c r="E85" s="239"/>
      <c r="F85" s="240"/>
    </row>
    <row r="86" spans="1:6" ht="20.25">
      <c r="A86" s="216"/>
      <c r="B86" s="42" t="s">
        <v>87</v>
      </c>
      <c r="C86" s="251" t="s">
        <v>15</v>
      </c>
      <c r="D86" s="242"/>
      <c r="E86" s="243"/>
      <c r="F86" s="244"/>
    </row>
    <row r="87" spans="1:6" ht="20.25">
      <c r="A87" s="216"/>
      <c r="B87" s="43" t="s">
        <v>88</v>
      </c>
      <c r="C87" s="252" t="s">
        <v>15</v>
      </c>
      <c r="D87" s="246">
        <f>'[2]Приложение 8 инвест за 3 года '!AN68/2</f>
        <v>0</v>
      </c>
      <c r="E87" s="247">
        <f>('[2]Приложение 8 инвест за 3 года '!V68+'[2]Приложение 8 инвест за 3 года '!Z68+'[2]Приложение 8 инвест за 3 года '!AD68+'[2]Приложение 8 инвест за 3 года '!AH68)/2</f>
        <v>0</v>
      </c>
      <c r="F87" s="248" t="e">
        <f>D87/E87</f>
        <v>#DIV/0!</v>
      </c>
    </row>
    <row r="88" spans="1:6" ht="20.25">
      <c r="A88" s="216"/>
      <c r="B88" s="249" t="s">
        <v>51</v>
      </c>
      <c r="C88" s="237">
        <v>0.4</v>
      </c>
      <c r="D88" s="238"/>
      <c r="E88" s="239"/>
      <c r="F88" s="240"/>
    </row>
    <row r="89" spans="1:6" ht="20.25">
      <c r="A89" s="216"/>
      <c r="B89" s="42" t="s">
        <v>87</v>
      </c>
      <c r="C89" s="241">
        <v>0.4</v>
      </c>
      <c r="D89" s="242"/>
      <c r="E89" s="243"/>
      <c r="F89" s="244"/>
    </row>
    <row r="90" spans="1:6" ht="20.25">
      <c r="A90" s="216"/>
      <c r="B90" s="43" t="s">
        <v>88</v>
      </c>
      <c r="C90" s="245">
        <v>0.4</v>
      </c>
      <c r="D90" s="246">
        <f>'[2]Приложение 8 инвест за 3 года '!AN78</f>
        <v>7344482.453</v>
      </c>
      <c r="E90" s="247">
        <f>'[2]Приложение 8 инвест за 3 года '!V78+'[2]Приложение 8 инвест за 3 года '!Z78+'[2]Приложение 8 инвест за 3 года '!AD78+'[2]Приложение 8 инвест за 3 года '!AH78</f>
        <v>0</v>
      </c>
      <c r="F90" s="248" t="e">
        <f>D90/E90</f>
        <v>#DIV/0!</v>
      </c>
    </row>
    <row r="91" spans="1:6" ht="20.25">
      <c r="A91" s="216"/>
      <c r="B91" s="249" t="s">
        <v>52</v>
      </c>
      <c r="C91" s="250" t="s">
        <v>15</v>
      </c>
      <c r="D91" s="238"/>
      <c r="E91" s="239"/>
      <c r="F91" s="240"/>
    </row>
    <row r="92" spans="1:6" ht="20.25">
      <c r="A92" s="216"/>
      <c r="B92" s="42" t="s">
        <v>87</v>
      </c>
      <c r="C92" s="251" t="s">
        <v>15</v>
      </c>
      <c r="D92" s="242"/>
      <c r="E92" s="243"/>
      <c r="F92" s="244"/>
    </row>
    <row r="93" spans="1:6" ht="20.25">
      <c r="A93" s="216"/>
      <c r="B93" s="43" t="s">
        <v>88</v>
      </c>
      <c r="C93" s="252" t="s">
        <v>15</v>
      </c>
      <c r="D93" s="246">
        <f>'[2]Приложение 8 инвест за 3 года '!AN88</f>
        <v>5724131.5978</v>
      </c>
      <c r="E93" s="247">
        <f>'[2]Приложение 8 инвест за 3 года '!V88+'[2]Приложение 8 инвест за 3 года '!Z88+'[2]Приложение 8 инвест за 3 года '!AD88+'[2]Приложение 8 инвест за 3 года '!AH88</f>
        <v>0</v>
      </c>
      <c r="F93" s="248"/>
    </row>
    <row r="94" spans="1:6" ht="20.25">
      <c r="A94" s="233"/>
      <c r="B94" s="236" t="s">
        <v>46</v>
      </c>
      <c r="C94" s="250" t="s">
        <v>15</v>
      </c>
      <c r="D94" s="238"/>
      <c r="E94" s="239"/>
      <c r="F94" s="240"/>
    </row>
    <row r="95" spans="1:6" ht="20.25">
      <c r="A95" s="233"/>
      <c r="B95" s="42" t="s">
        <v>87</v>
      </c>
      <c r="C95" s="251" t="s">
        <v>15</v>
      </c>
      <c r="D95" s="242"/>
      <c r="E95" s="243"/>
      <c r="F95" s="244"/>
    </row>
    <row r="96" spans="1:6" ht="20.25">
      <c r="A96" s="233"/>
      <c r="B96" s="43" t="s">
        <v>88</v>
      </c>
      <c r="C96" s="252" t="s">
        <v>15</v>
      </c>
      <c r="D96" s="246">
        <f>'[2]Приложение 8 инвест за 3 года '!AN118</f>
        <v>0</v>
      </c>
      <c r="E96" s="247">
        <f>'[2]Приложение 8 инвест за 3 года '!V118+'[2]Приложение 8 инвест за 3 года '!Z118+'[2]Приложение 8 инвест за 3 года '!AD118+'[2]Приложение 8 инвест за 3 года '!AH118</f>
        <v>0</v>
      </c>
      <c r="F96" s="248"/>
    </row>
    <row r="97" spans="1:6" ht="20.25">
      <c r="A97" s="233"/>
      <c r="B97" s="249" t="s">
        <v>52</v>
      </c>
      <c r="C97" s="250" t="s">
        <v>83</v>
      </c>
      <c r="D97" s="238"/>
      <c r="E97" s="239"/>
      <c r="F97" s="240"/>
    </row>
    <row r="98" spans="1:6" ht="20.25">
      <c r="A98" s="233"/>
      <c r="B98" s="42" t="s">
        <v>87</v>
      </c>
      <c r="C98" s="251" t="s">
        <v>83</v>
      </c>
      <c r="D98" s="242"/>
      <c r="E98" s="243"/>
      <c r="F98" s="244"/>
    </row>
    <row r="99" spans="1:6" ht="20.25">
      <c r="A99" s="233"/>
      <c r="B99" s="43" t="s">
        <v>88</v>
      </c>
      <c r="C99" s="252" t="s">
        <v>83</v>
      </c>
      <c r="D99" s="246"/>
      <c r="E99" s="247"/>
      <c r="F99" s="248"/>
    </row>
    <row r="100" spans="1:6" ht="20.25">
      <c r="A100" s="233"/>
      <c r="B100" s="236" t="s">
        <v>46</v>
      </c>
      <c r="C100" s="250" t="s">
        <v>83</v>
      </c>
      <c r="D100" s="238"/>
      <c r="E100" s="239"/>
      <c r="F100" s="240"/>
    </row>
    <row r="101" spans="1:6" ht="20.25">
      <c r="A101" s="233"/>
      <c r="B101" s="42" t="s">
        <v>87</v>
      </c>
      <c r="C101" s="251" t="s">
        <v>83</v>
      </c>
      <c r="D101" s="242"/>
      <c r="E101" s="243"/>
      <c r="F101" s="244"/>
    </row>
    <row r="102" spans="1:6" ht="20.25">
      <c r="A102" s="233"/>
      <c r="B102" s="43" t="s">
        <v>88</v>
      </c>
      <c r="C102" s="252" t="s">
        <v>83</v>
      </c>
      <c r="D102" s="246"/>
      <c r="E102" s="247"/>
      <c r="F102" s="248"/>
    </row>
    <row r="103" spans="1:6" ht="20.25">
      <c r="A103" s="233"/>
      <c r="B103" s="249" t="s">
        <v>52</v>
      </c>
      <c r="C103" s="250" t="s">
        <v>84</v>
      </c>
      <c r="D103" s="238"/>
      <c r="E103" s="239"/>
      <c r="F103" s="240"/>
    </row>
    <row r="104" spans="1:6" ht="20.25">
      <c r="A104" s="233"/>
      <c r="B104" s="42" t="s">
        <v>87</v>
      </c>
      <c r="C104" s="251" t="s">
        <v>84</v>
      </c>
      <c r="D104" s="242"/>
      <c r="E104" s="243"/>
      <c r="F104" s="244"/>
    </row>
    <row r="105" spans="1:6" ht="20.25">
      <c r="A105" s="233"/>
      <c r="B105" s="43" t="s">
        <v>88</v>
      </c>
      <c r="C105" s="252" t="s">
        <v>84</v>
      </c>
      <c r="D105" s="246"/>
      <c r="E105" s="247"/>
      <c r="F105" s="248"/>
    </row>
    <row r="106" spans="1:6" ht="20.25">
      <c r="A106" s="233"/>
      <c r="B106" s="236" t="s">
        <v>46</v>
      </c>
      <c r="C106" s="250" t="s">
        <v>84</v>
      </c>
      <c r="D106" s="238"/>
      <c r="E106" s="239"/>
      <c r="F106" s="240"/>
    </row>
    <row r="107" spans="1:6" ht="20.25">
      <c r="A107" s="233"/>
      <c r="B107" s="42" t="s">
        <v>87</v>
      </c>
      <c r="C107" s="251" t="s">
        <v>84</v>
      </c>
      <c r="D107" s="242"/>
      <c r="E107" s="243"/>
      <c r="F107" s="244"/>
    </row>
    <row r="108" spans="1:6" ht="20.25">
      <c r="A108" s="233"/>
      <c r="B108" s="43" t="s">
        <v>88</v>
      </c>
      <c r="C108" s="252" t="s">
        <v>84</v>
      </c>
      <c r="D108" s="246"/>
      <c r="E108" s="247"/>
      <c r="F108" s="248"/>
    </row>
    <row r="109" spans="1:6" ht="39" customHeight="1">
      <c r="A109" s="226" t="s">
        <v>35</v>
      </c>
      <c r="B109" s="219" t="s">
        <v>153</v>
      </c>
      <c r="C109" s="219" t="s">
        <v>18</v>
      </c>
      <c r="D109" s="221">
        <f>SUM(D110:D119)</f>
        <v>11016143.562306285</v>
      </c>
      <c r="E109" s="221">
        <f>SUM(E110:E119)</f>
        <v>1480</v>
      </c>
      <c r="F109" s="227">
        <f>D109/E109</f>
        <v>7443.340244801544</v>
      </c>
    </row>
    <row r="110" spans="1:6" ht="40.5">
      <c r="A110" s="216"/>
      <c r="B110" s="224" t="s">
        <v>312</v>
      </c>
      <c r="C110" s="228"/>
      <c r="D110" s="229"/>
      <c r="E110" s="232"/>
      <c r="F110" s="223"/>
    </row>
    <row r="111" spans="1:6" ht="20.25">
      <c r="A111" s="216"/>
      <c r="B111" s="230" t="s">
        <v>49</v>
      </c>
      <c r="C111" s="228">
        <v>0.4</v>
      </c>
      <c r="D111" s="229"/>
      <c r="E111" s="232"/>
      <c r="F111" s="223"/>
    </row>
    <row r="112" spans="1:6" ht="20.25">
      <c r="A112" s="216"/>
      <c r="B112" s="230" t="s">
        <v>50</v>
      </c>
      <c r="C112" s="231" t="s">
        <v>15</v>
      </c>
      <c r="D112" s="229">
        <f>'[2]Приложение 8 инвест за 3 года '!AN69/2</f>
        <v>0</v>
      </c>
      <c r="E112" s="232">
        <f>('[2]Приложение 8 инвест за 3 года '!V69+'[2]Приложение 8 инвест за 3 года '!Z69+'[2]Приложение 8 инвест за 3 года '!AD69+'[2]Приложение 8 инвест за 3 года '!AH69)/2</f>
        <v>0</v>
      </c>
      <c r="F112" s="223"/>
    </row>
    <row r="113" spans="1:6" ht="30" customHeight="1">
      <c r="A113" s="216"/>
      <c r="B113" s="230" t="s">
        <v>51</v>
      </c>
      <c r="C113" s="228">
        <v>0.4</v>
      </c>
      <c r="D113" s="229"/>
      <c r="E113" s="232"/>
      <c r="F113" s="223"/>
    </row>
    <row r="114" spans="1:6" ht="33" customHeight="1">
      <c r="A114" s="216"/>
      <c r="B114" s="230" t="s">
        <v>52</v>
      </c>
      <c r="C114" s="231" t="s">
        <v>15</v>
      </c>
      <c r="D114" s="229">
        <f>'[2]Приложение 8 инвест за 3 года '!AN89</f>
        <v>11016143.562306285</v>
      </c>
      <c r="E114" s="232">
        <f>'[2]Приложение 8 инвест за 3 года '!AH89+'[2]Приложение 8 инвест за 3 года '!AD89</f>
        <v>1480</v>
      </c>
      <c r="F114" s="223">
        <f>D114/E114</f>
        <v>7443.340244801544</v>
      </c>
    </row>
    <row r="115" spans="1:6" ht="36.75" customHeight="1">
      <c r="A115" s="233"/>
      <c r="B115" s="224" t="s">
        <v>46</v>
      </c>
      <c r="C115" s="231" t="s">
        <v>15</v>
      </c>
      <c r="D115" s="229"/>
      <c r="E115" s="232"/>
      <c r="F115" s="223"/>
    </row>
    <row r="116" spans="1:6" ht="36.75" customHeight="1">
      <c r="A116" s="233"/>
      <c r="B116" s="230" t="s">
        <v>52</v>
      </c>
      <c r="C116" s="231" t="s">
        <v>83</v>
      </c>
      <c r="D116" s="229"/>
      <c r="E116" s="232"/>
      <c r="F116" s="223"/>
    </row>
    <row r="117" spans="1:6" ht="36.75" customHeight="1">
      <c r="A117" s="233"/>
      <c r="B117" s="224" t="s">
        <v>46</v>
      </c>
      <c r="C117" s="231" t="s">
        <v>83</v>
      </c>
      <c r="D117" s="229"/>
      <c r="E117" s="232"/>
      <c r="F117" s="223"/>
    </row>
    <row r="118" spans="1:6" ht="36.75" customHeight="1">
      <c r="A118" s="233"/>
      <c r="B118" s="230" t="s">
        <v>52</v>
      </c>
      <c r="C118" s="231" t="s">
        <v>84</v>
      </c>
      <c r="D118" s="229"/>
      <c r="E118" s="232"/>
      <c r="F118" s="223"/>
    </row>
    <row r="119" spans="1:6" ht="36.75" customHeight="1">
      <c r="A119" s="233"/>
      <c r="B119" s="224" t="s">
        <v>46</v>
      </c>
      <c r="C119" s="231" t="s">
        <v>84</v>
      </c>
      <c r="D119" s="229"/>
      <c r="E119" s="232"/>
      <c r="F119" s="223"/>
    </row>
    <row r="120" spans="1:6" ht="101.25">
      <c r="A120" s="226" t="s">
        <v>36</v>
      </c>
      <c r="B120" s="219" t="s">
        <v>317</v>
      </c>
      <c r="C120" s="219" t="s">
        <v>18</v>
      </c>
      <c r="D120" s="221">
        <f>SUM(D121:D130)</f>
        <v>166725225.95358557</v>
      </c>
      <c r="E120" s="221">
        <f>SUM(E121:E130)</f>
        <v>10988.775</v>
      </c>
      <c r="F120" s="227">
        <f aca="true" t="shared" si="2" ref="F120:F125">D120/E120</f>
        <v>15172.32138737808</v>
      </c>
    </row>
    <row r="121" spans="1:8" ht="40.5">
      <c r="A121" s="216"/>
      <c r="B121" s="224" t="s">
        <v>312</v>
      </c>
      <c r="C121" s="228"/>
      <c r="D121" s="229">
        <f>'[2]Приложение 8 инвест за 3 года '!AN50-'[2]Приложение 8 инвест за 3 года '!AO50</f>
        <v>40576033.44933033</v>
      </c>
      <c r="E121" s="232">
        <f>'[2]Приложение 8 инвест за 3 года '!AH50-(0.75*'[2]Приложение 8 инвест за 3 года '!AH50/2)</f>
        <v>455.625</v>
      </c>
      <c r="F121" s="223">
        <f t="shared" si="2"/>
        <v>89055.76614393487</v>
      </c>
      <c r="H121" s="345">
        <f>'[2]Приложение 8 инвест за 3 года '!AH50</f>
        <v>729</v>
      </c>
    </row>
    <row r="122" spans="1:8" ht="32.25" customHeight="1">
      <c r="A122" s="216"/>
      <c r="B122" s="230" t="s">
        <v>49</v>
      </c>
      <c r="C122" s="228">
        <v>0.4</v>
      </c>
      <c r="D122" s="229">
        <f>'[2]Приложение 8 инвест за 3 года '!AN60-'[2]Приложение 8 инвест за 3 года '!AO60</f>
        <v>16846391.880631685</v>
      </c>
      <c r="E122" s="232">
        <f>'[2]Приложение 8 инвест за 3 года '!Z60+'[2]Приложение 8 инвест за 3 года '!AH60-(0.75*('[2]Приложение 8 инвест за 3 года '!Z60+'[2]Приложение 8 инвест за 3 года '!AH60)/2)</f>
        <v>912.25</v>
      </c>
      <c r="F122" s="223">
        <f t="shared" si="2"/>
        <v>18466.858734592148</v>
      </c>
      <c r="H122" s="7">
        <f>0.75*H121/2+0.25*H121</f>
        <v>455.625</v>
      </c>
    </row>
    <row r="123" spans="1:8" ht="33" customHeight="1">
      <c r="A123" s="216"/>
      <c r="B123" s="230" t="s">
        <v>50</v>
      </c>
      <c r="C123" s="231" t="s">
        <v>15</v>
      </c>
      <c r="D123" s="229">
        <f>'[2]Приложение 8 инвест за 3 года '!AN70/2</f>
        <v>0</v>
      </c>
      <c r="E123" s="232">
        <f>'[2]Приложение 8 инвест за 3 года '!Z70/2</f>
        <v>0</v>
      </c>
      <c r="F123" s="223" t="e">
        <f t="shared" si="2"/>
        <v>#DIV/0!</v>
      </c>
      <c r="H123" s="345">
        <f>H121-H122</f>
        <v>273.375</v>
      </c>
    </row>
    <row r="124" spans="1:6" ht="30" customHeight="1">
      <c r="A124" s="216"/>
      <c r="B124" s="230" t="s">
        <v>51</v>
      </c>
      <c r="C124" s="228">
        <v>0.4</v>
      </c>
      <c r="D124" s="229">
        <f>'[2]Приложение 8 инвест за 3 года '!AN80</f>
        <v>0</v>
      </c>
      <c r="E124" s="232">
        <f>'[2]Приложение 8 инвест за 3 года '!Z80+'[2]Приложение 8 инвест за 3 года '!AH80</f>
        <v>0</v>
      </c>
      <c r="F124" s="223" t="e">
        <f t="shared" si="2"/>
        <v>#DIV/0!</v>
      </c>
    </row>
    <row r="125" spans="1:6" ht="27.75" customHeight="1">
      <c r="A125" s="216"/>
      <c r="B125" s="230" t="s">
        <v>52</v>
      </c>
      <c r="C125" s="231" t="s">
        <v>15</v>
      </c>
      <c r="D125" s="229">
        <f>'[2]Приложение 8 инвест за 3 года '!AN90</f>
        <v>64726260.82080109</v>
      </c>
      <c r="E125" s="232">
        <f>'[2]Приложение 8 инвест за 3 года '!Z90+'[2]Приложение 8 инвест за 3 года '!AH90</f>
        <v>4013.9</v>
      </c>
      <c r="F125" s="223">
        <f t="shared" si="2"/>
        <v>16125.528991953233</v>
      </c>
    </row>
    <row r="126" spans="1:6" ht="33" customHeight="1">
      <c r="A126" s="233"/>
      <c r="B126" s="224" t="s">
        <v>46</v>
      </c>
      <c r="C126" s="231" t="s">
        <v>15</v>
      </c>
      <c r="D126" s="229"/>
      <c r="E126" s="232"/>
      <c r="F126" s="223"/>
    </row>
    <row r="127" spans="1:6" ht="33" customHeight="1">
      <c r="A127" s="233"/>
      <c r="B127" s="230" t="s">
        <v>52</v>
      </c>
      <c r="C127" s="231" t="s">
        <v>83</v>
      </c>
      <c r="D127" s="229"/>
      <c r="E127" s="232"/>
      <c r="F127" s="223"/>
    </row>
    <row r="128" spans="1:6" ht="33" customHeight="1">
      <c r="A128" s="233"/>
      <c r="B128" s="224" t="s">
        <v>46</v>
      </c>
      <c r="C128" s="231" t="s">
        <v>83</v>
      </c>
      <c r="D128" s="229">
        <f>'[2]Приложение 8 инвест за 3 года '!AN130</f>
        <v>44576539.80282246</v>
      </c>
      <c r="E128" s="232">
        <f>'[2]Приложение 8 инвест за 3 года '!Z130</f>
        <v>5607</v>
      </c>
      <c r="F128" s="223">
        <f>D128/E128</f>
        <v>7950.158694992414</v>
      </c>
    </row>
    <row r="129" spans="1:6" ht="33" customHeight="1">
      <c r="A129" s="233"/>
      <c r="B129" s="230" t="s">
        <v>52</v>
      </c>
      <c r="C129" s="231" t="s">
        <v>84</v>
      </c>
      <c r="D129" s="229"/>
      <c r="E129" s="232"/>
      <c r="F129" s="223"/>
    </row>
    <row r="130" spans="1:6" ht="33" customHeight="1">
      <c r="A130" s="233"/>
      <c r="B130" s="224" t="s">
        <v>46</v>
      </c>
      <c r="C130" s="231" t="s">
        <v>84</v>
      </c>
      <c r="D130" s="229"/>
      <c r="E130" s="232"/>
      <c r="F130" s="223"/>
    </row>
    <row r="131" spans="1:6" ht="60.75">
      <c r="A131" s="226" t="s">
        <v>16</v>
      </c>
      <c r="B131" s="219" t="s">
        <v>318</v>
      </c>
      <c r="C131" s="219" t="s">
        <v>18</v>
      </c>
      <c r="D131" s="225">
        <f>SUM(D132:D141)</f>
        <v>0</v>
      </c>
      <c r="E131" s="225">
        <f>SUM(E132:E141)</f>
        <v>0</v>
      </c>
      <c r="F131" s="223"/>
    </row>
    <row r="132" spans="1:6" ht="40.5">
      <c r="A132" s="216"/>
      <c r="B132" s="224" t="s">
        <v>319</v>
      </c>
      <c r="C132" s="228"/>
      <c r="D132" s="229"/>
      <c r="E132" s="232"/>
      <c r="F132" s="223"/>
    </row>
    <row r="133" spans="1:6" ht="30" customHeight="1">
      <c r="A133" s="216"/>
      <c r="B133" s="230" t="s">
        <v>49</v>
      </c>
      <c r="C133" s="228">
        <v>0.4</v>
      </c>
      <c r="D133" s="229"/>
      <c r="E133" s="232"/>
      <c r="F133" s="223"/>
    </row>
    <row r="134" spans="1:6" ht="27" customHeight="1">
      <c r="A134" s="216"/>
      <c r="B134" s="230" t="s">
        <v>50</v>
      </c>
      <c r="C134" s="231" t="s">
        <v>15</v>
      </c>
      <c r="D134" s="229"/>
      <c r="E134" s="232"/>
      <c r="F134" s="223"/>
    </row>
    <row r="135" spans="1:6" ht="39" customHeight="1">
      <c r="A135" s="216"/>
      <c r="B135" s="230" t="s">
        <v>51</v>
      </c>
      <c r="C135" s="228">
        <v>0.4</v>
      </c>
      <c r="D135" s="229"/>
      <c r="E135" s="232"/>
      <c r="F135" s="223"/>
    </row>
    <row r="136" spans="1:6" ht="36" customHeight="1">
      <c r="A136" s="216"/>
      <c r="B136" s="230" t="s">
        <v>52</v>
      </c>
      <c r="C136" s="231" t="s">
        <v>15</v>
      </c>
      <c r="D136" s="229"/>
      <c r="E136" s="232"/>
      <c r="F136" s="223"/>
    </row>
    <row r="137" spans="1:6" ht="36" customHeight="1">
      <c r="A137" s="233"/>
      <c r="B137" s="224" t="s">
        <v>46</v>
      </c>
      <c r="C137" s="231" t="s">
        <v>15</v>
      </c>
      <c r="D137" s="229"/>
      <c r="E137" s="232"/>
      <c r="F137" s="223"/>
    </row>
    <row r="138" spans="1:6" ht="36" customHeight="1">
      <c r="A138" s="233"/>
      <c r="B138" s="230" t="s">
        <v>52</v>
      </c>
      <c r="C138" s="231" t="s">
        <v>83</v>
      </c>
      <c r="D138" s="229"/>
      <c r="E138" s="232"/>
      <c r="F138" s="223"/>
    </row>
    <row r="139" spans="1:6" ht="36" customHeight="1">
      <c r="A139" s="233"/>
      <c r="B139" s="224" t="s">
        <v>46</v>
      </c>
      <c r="C139" s="231" t="s">
        <v>83</v>
      </c>
      <c r="D139" s="229"/>
      <c r="E139" s="232"/>
      <c r="F139" s="223"/>
    </row>
    <row r="140" spans="1:6" ht="36" customHeight="1">
      <c r="A140" s="233"/>
      <c r="B140" s="230" t="s">
        <v>52</v>
      </c>
      <c r="C140" s="231" t="s">
        <v>84</v>
      </c>
      <c r="D140" s="229"/>
      <c r="E140" s="232"/>
      <c r="F140" s="223"/>
    </row>
    <row r="141" spans="1:6" ht="36" customHeight="1">
      <c r="A141" s="233"/>
      <c r="B141" s="224" t="s">
        <v>46</v>
      </c>
      <c r="C141" s="231" t="s">
        <v>84</v>
      </c>
      <c r="D141" s="229"/>
      <c r="E141" s="232"/>
      <c r="F141" s="223"/>
    </row>
    <row r="142" spans="1:6" ht="56.25" customHeight="1">
      <c r="A142" s="226">
        <v>4</v>
      </c>
      <c r="B142" s="219" t="s">
        <v>320</v>
      </c>
      <c r="C142" s="219"/>
      <c r="D142" s="221">
        <f>SUM(D144:D153)</f>
        <v>7762484.311671425</v>
      </c>
      <c r="E142" s="221">
        <f>SUM(E144:E153)</f>
        <v>38552.286</v>
      </c>
      <c r="F142" s="227">
        <f aca="true" t="shared" si="3" ref="F142:F155">D142/E142</f>
        <v>201.34952079550936</v>
      </c>
    </row>
    <row r="143" spans="1:6" ht="28.5" customHeight="1">
      <c r="A143" s="226" t="s">
        <v>321</v>
      </c>
      <c r="B143" s="219" t="s">
        <v>113</v>
      </c>
      <c r="C143" s="219"/>
      <c r="D143" s="221"/>
      <c r="E143" s="253"/>
      <c r="F143" s="227"/>
    </row>
    <row r="144" spans="1:6" ht="48.75" customHeight="1">
      <c r="A144" s="233"/>
      <c r="B144" s="224" t="s">
        <v>312</v>
      </c>
      <c r="C144" s="224"/>
      <c r="D144" s="229">
        <f>'[2]Таблица 7 .1'!P16-'[2]Таблица 7 .1'!Q16</f>
        <v>4743489.90129222</v>
      </c>
      <c r="E144" s="232">
        <f aca="true" t="shared" si="4" ref="E144:E153">E14</f>
        <v>2949.25</v>
      </c>
      <c r="F144" s="223">
        <f t="shared" si="3"/>
        <v>1608.3715864345918</v>
      </c>
    </row>
    <row r="145" spans="1:6" ht="38.25" customHeight="1">
      <c r="A145" s="233"/>
      <c r="B145" s="230" t="s">
        <v>49</v>
      </c>
      <c r="C145" s="228">
        <v>0.4</v>
      </c>
      <c r="D145" s="229">
        <f>'[2]Таблица 7 .1'!S16</f>
        <v>846924.1041805719</v>
      </c>
      <c r="E145" s="232">
        <f t="shared" si="4"/>
        <v>4400.93</v>
      </c>
      <c r="F145" s="223">
        <f t="shared" si="3"/>
        <v>192.44207569322208</v>
      </c>
    </row>
    <row r="146" spans="1:6" ht="36" customHeight="1">
      <c r="A146" s="233"/>
      <c r="B146" s="230" t="s">
        <v>50</v>
      </c>
      <c r="C146" s="231" t="s">
        <v>15</v>
      </c>
      <c r="D146" s="229">
        <f>'[2]Таблица 7 .1'!U16</f>
        <v>800881.4621634485</v>
      </c>
      <c r="E146" s="232">
        <f t="shared" si="4"/>
        <v>6239.75</v>
      </c>
      <c r="F146" s="223">
        <f t="shared" si="3"/>
        <v>128.35153045609977</v>
      </c>
    </row>
    <row r="147" spans="1:6" ht="36.75" customHeight="1">
      <c r="A147" s="233"/>
      <c r="B147" s="230" t="s">
        <v>51</v>
      </c>
      <c r="C147" s="228">
        <v>0.4</v>
      </c>
      <c r="D147" s="229">
        <f>'[2]Таблица 7 .1'!T16</f>
        <v>60876.60290570444</v>
      </c>
      <c r="E147" s="232">
        <f t="shared" si="4"/>
        <v>1496.93</v>
      </c>
      <c r="F147" s="223">
        <f t="shared" si="3"/>
        <v>40.667635030164696</v>
      </c>
    </row>
    <row r="148" spans="1:6" ht="36" customHeight="1">
      <c r="A148" s="233"/>
      <c r="B148" s="230" t="s">
        <v>52</v>
      </c>
      <c r="C148" s="231" t="s">
        <v>15</v>
      </c>
      <c r="D148" s="229">
        <f>'[2]Таблица 7 .1'!V16</f>
        <v>422168.9273324108</v>
      </c>
      <c r="E148" s="232">
        <f t="shared" si="4"/>
        <v>10220.426</v>
      </c>
      <c r="F148" s="223">
        <f t="shared" si="3"/>
        <v>41.30639244708693</v>
      </c>
    </row>
    <row r="149" spans="1:6" ht="37.5" customHeight="1">
      <c r="A149" s="233"/>
      <c r="B149" s="224" t="s">
        <v>46</v>
      </c>
      <c r="C149" s="231" t="s">
        <v>15</v>
      </c>
      <c r="D149" s="229">
        <f>'[2]Таблица 7 .1'!W16</f>
        <v>414466.8797719666</v>
      </c>
      <c r="E149" s="232">
        <f t="shared" si="4"/>
        <v>7585</v>
      </c>
      <c r="F149" s="223">
        <f t="shared" si="3"/>
        <v>54.6429637141683</v>
      </c>
    </row>
    <row r="150" spans="1:6" ht="37.5" customHeight="1">
      <c r="A150" s="233"/>
      <c r="B150" s="230" t="s">
        <v>52</v>
      </c>
      <c r="C150" s="231" t="s">
        <v>83</v>
      </c>
      <c r="D150" s="229">
        <f>'[2]Таблица 7 .1'!X16</f>
        <v>296047.77126569045</v>
      </c>
      <c r="E150" s="232">
        <f t="shared" si="4"/>
        <v>2690</v>
      </c>
      <c r="F150" s="223">
        <f t="shared" si="3"/>
        <v>110.05493355601875</v>
      </c>
    </row>
    <row r="151" spans="1:6" ht="37.5" customHeight="1">
      <c r="A151" s="233"/>
      <c r="B151" s="224" t="s">
        <v>46</v>
      </c>
      <c r="C151" s="231" t="s">
        <v>83</v>
      </c>
      <c r="D151" s="229">
        <f>'[2]Таблица 7 .1'!Y16</f>
        <v>59209.554253138085</v>
      </c>
      <c r="E151" s="232">
        <f t="shared" si="4"/>
        <v>800</v>
      </c>
      <c r="F151" s="223">
        <f t="shared" si="3"/>
        <v>74.0119428164226</v>
      </c>
    </row>
    <row r="152" spans="1:6" ht="37.5" customHeight="1">
      <c r="A152" s="233"/>
      <c r="B152" s="230" t="s">
        <v>52</v>
      </c>
      <c r="C152" s="231" t="s">
        <v>84</v>
      </c>
      <c r="D152" s="229">
        <f>'[2]Таблица 7 .1'!Z16</f>
        <v>59209.554253138085</v>
      </c>
      <c r="E152" s="232">
        <f t="shared" si="4"/>
        <v>670</v>
      </c>
      <c r="F152" s="223">
        <f t="shared" si="3"/>
        <v>88.37246903453446</v>
      </c>
    </row>
    <row r="153" spans="1:6" ht="37.5" customHeight="1">
      <c r="A153" s="233"/>
      <c r="B153" s="224" t="s">
        <v>46</v>
      </c>
      <c r="C153" s="231" t="s">
        <v>84</v>
      </c>
      <c r="D153" s="229">
        <f>'[2]Таблица 7 .1'!AA16</f>
        <v>59209.554253138085</v>
      </c>
      <c r="E153" s="232">
        <f t="shared" si="4"/>
        <v>1500</v>
      </c>
      <c r="F153" s="223">
        <f t="shared" si="3"/>
        <v>39.473036168758725</v>
      </c>
    </row>
    <row r="154" spans="1:6" ht="33" customHeight="1">
      <c r="A154" s="234" t="s">
        <v>322</v>
      </c>
      <c r="B154" s="235" t="s">
        <v>313</v>
      </c>
      <c r="C154" s="231"/>
      <c r="D154" s="229"/>
      <c r="E154" s="232"/>
      <c r="F154" s="223"/>
    </row>
    <row r="155" spans="1:6" ht="78.75" customHeight="1">
      <c r="A155" s="226">
        <v>5</v>
      </c>
      <c r="B155" s="219" t="s">
        <v>323</v>
      </c>
      <c r="C155" s="219"/>
      <c r="D155" s="221">
        <f>SUM(D157:D163)</f>
        <v>268866.2498023404</v>
      </c>
      <c r="E155" s="221">
        <f>SUM(E157:E163)</f>
        <v>24962.356</v>
      </c>
      <c r="F155" s="227">
        <f t="shared" si="3"/>
        <v>10.77086833479742</v>
      </c>
    </row>
    <row r="156" spans="1:6" ht="30.75" customHeight="1">
      <c r="A156" s="226" t="s">
        <v>324</v>
      </c>
      <c r="B156" s="219" t="s">
        <v>113</v>
      </c>
      <c r="C156" s="219"/>
      <c r="D156" s="221"/>
      <c r="E156" s="221"/>
      <c r="F156" s="227"/>
    </row>
    <row r="157" spans="1:6" ht="42" customHeight="1">
      <c r="A157" s="233"/>
      <c r="B157" s="230" t="s">
        <v>53</v>
      </c>
      <c r="C157" s="228">
        <v>0.4</v>
      </c>
      <c r="D157" s="229">
        <f>'[2]Таблица 7 .1'!T17</f>
        <v>27813.749979552464</v>
      </c>
      <c r="E157" s="229">
        <f aca="true" t="shared" si="5" ref="E157:E163">E17</f>
        <v>1496.93</v>
      </c>
      <c r="F157" s="254">
        <f aca="true" t="shared" si="6" ref="F157:F176">D157/E157</f>
        <v>18.580528133949123</v>
      </c>
    </row>
    <row r="158" spans="1:6" ht="38.25" customHeight="1">
      <c r="A158" s="233"/>
      <c r="B158" s="230" t="s">
        <v>54</v>
      </c>
      <c r="C158" s="231" t="s">
        <v>15</v>
      </c>
      <c r="D158" s="229">
        <f>'[2]Таблица 7 .1'!V17</f>
        <v>171518.1248739068</v>
      </c>
      <c r="E158" s="229">
        <f t="shared" si="5"/>
        <v>10220.426</v>
      </c>
      <c r="F158" s="254">
        <f t="shared" si="6"/>
        <v>16.781895869497692</v>
      </c>
    </row>
    <row r="159" spans="1:6" ht="35.25" customHeight="1">
      <c r="A159" s="233"/>
      <c r="B159" s="224" t="s">
        <v>47</v>
      </c>
      <c r="C159" s="231" t="s">
        <v>15</v>
      </c>
      <c r="D159" s="229">
        <f>'[2]Таблица 7 .1'!W17</f>
        <v>32449.374976144532</v>
      </c>
      <c r="E159" s="229">
        <f t="shared" si="5"/>
        <v>7585</v>
      </c>
      <c r="F159" s="254">
        <f t="shared" si="6"/>
        <v>4.278098217026306</v>
      </c>
    </row>
    <row r="160" spans="1:6" ht="35.25" customHeight="1">
      <c r="A160" s="233"/>
      <c r="B160" s="230" t="s">
        <v>52</v>
      </c>
      <c r="C160" s="231" t="s">
        <v>83</v>
      </c>
      <c r="D160" s="229">
        <f>'[2]Таблица 7 .1'!X17</f>
        <v>23178.124982960384</v>
      </c>
      <c r="E160" s="229">
        <f t="shared" si="5"/>
        <v>2690</v>
      </c>
      <c r="F160" s="254">
        <f t="shared" si="6"/>
        <v>8.616403339390477</v>
      </c>
    </row>
    <row r="161" spans="1:6" ht="35.25" customHeight="1">
      <c r="A161" s="233"/>
      <c r="B161" s="224" t="s">
        <v>46</v>
      </c>
      <c r="C161" s="231" t="s">
        <v>83</v>
      </c>
      <c r="D161" s="229">
        <f>'[2]Таблица 7 .1'!Y17</f>
        <v>4635.624996592077</v>
      </c>
      <c r="E161" s="229">
        <f t="shared" si="5"/>
        <v>800</v>
      </c>
      <c r="F161" s="254">
        <f t="shared" si="6"/>
        <v>5.794531245740096</v>
      </c>
    </row>
    <row r="162" spans="1:6" ht="35.25" customHeight="1">
      <c r="A162" s="233"/>
      <c r="B162" s="230" t="s">
        <v>52</v>
      </c>
      <c r="C162" s="231" t="s">
        <v>84</v>
      </c>
      <c r="D162" s="229">
        <f>'[2]Таблица 7 .1'!Z17</f>
        <v>4635.624996592077</v>
      </c>
      <c r="E162" s="229">
        <f t="shared" si="5"/>
        <v>670</v>
      </c>
      <c r="F162" s="254">
        <f t="shared" si="6"/>
        <v>6.918843278495637</v>
      </c>
    </row>
    <row r="163" spans="1:6" ht="35.25" customHeight="1">
      <c r="A163" s="233"/>
      <c r="B163" s="224" t="s">
        <v>46</v>
      </c>
      <c r="C163" s="231" t="s">
        <v>84</v>
      </c>
      <c r="D163" s="229">
        <f>'[2]Таблица 7 .1'!AA17</f>
        <v>4635.624996592077</v>
      </c>
      <c r="E163" s="229">
        <f t="shared" si="5"/>
        <v>1500</v>
      </c>
      <c r="F163" s="254">
        <f t="shared" si="6"/>
        <v>3.090416664394718</v>
      </c>
    </row>
    <row r="164" spans="1:6" ht="27" customHeight="1">
      <c r="A164" s="234" t="s">
        <v>325</v>
      </c>
      <c r="B164" s="235" t="s">
        <v>313</v>
      </c>
      <c r="C164" s="231"/>
      <c r="D164" s="229"/>
      <c r="E164" s="229"/>
      <c r="F164" s="254"/>
    </row>
    <row r="165" spans="1:6" ht="84" customHeight="1">
      <c r="A165" s="226">
        <v>6</v>
      </c>
      <c r="B165" s="219" t="s">
        <v>326</v>
      </c>
      <c r="C165" s="219"/>
      <c r="D165" s="221">
        <f>SUM(D167:D176)</f>
        <v>7950940.045609444</v>
      </c>
      <c r="E165" s="221">
        <f>SUM(E167:E176)</f>
        <v>38552.286</v>
      </c>
      <c r="F165" s="255">
        <f t="shared" si="6"/>
        <v>206.23783621052834</v>
      </c>
    </row>
    <row r="166" spans="1:6" ht="30" customHeight="1">
      <c r="A166" s="226" t="s">
        <v>327</v>
      </c>
      <c r="B166" s="219" t="s">
        <v>113</v>
      </c>
      <c r="C166" s="219"/>
      <c r="D166" s="221"/>
      <c r="E166" s="221"/>
      <c r="F166" s="255"/>
    </row>
    <row r="167" spans="1:6" ht="57" customHeight="1">
      <c r="A167" s="233"/>
      <c r="B167" s="224" t="s">
        <v>312</v>
      </c>
      <c r="C167" s="224"/>
      <c r="D167" s="229">
        <f>'[2]Таблица 7 .1'!P18-'[2]Таблица 7 .1'!Q18</f>
        <v>4383961.708612911</v>
      </c>
      <c r="E167" s="229">
        <f aca="true" t="shared" si="7" ref="E167:E172">E14</f>
        <v>2949.25</v>
      </c>
      <c r="F167" s="254">
        <f t="shared" si="6"/>
        <v>1486.4666300289605</v>
      </c>
    </row>
    <row r="168" spans="1:6" ht="41.25" customHeight="1">
      <c r="A168" s="233"/>
      <c r="B168" s="230" t="s">
        <v>49</v>
      </c>
      <c r="C168" s="228">
        <v>0.4</v>
      </c>
      <c r="D168" s="229">
        <f>'[2]Таблица 7 .1'!S18</f>
        <v>1099708.3200847695</v>
      </c>
      <c r="E168" s="229">
        <f t="shared" si="7"/>
        <v>4400.93</v>
      </c>
      <c r="F168" s="254">
        <f t="shared" si="6"/>
        <v>249.88089337589315</v>
      </c>
    </row>
    <row r="169" spans="1:6" ht="39" customHeight="1">
      <c r="A169" s="233"/>
      <c r="B169" s="230" t="s">
        <v>50</v>
      </c>
      <c r="C169" s="231" t="s">
        <v>15</v>
      </c>
      <c r="D169" s="229">
        <f>'[2]Таблица 7 .1'!U18</f>
        <v>1471208.0555717356</v>
      </c>
      <c r="E169" s="229">
        <f t="shared" si="7"/>
        <v>6239.75</v>
      </c>
      <c r="F169" s="254">
        <f t="shared" si="6"/>
        <v>235.77996803906177</v>
      </c>
    </row>
    <row r="170" spans="1:6" ht="41.25" customHeight="1">
      <c r="A170" s="233"/>
      <c r="B170" s="230" t="s">
        <v>51</v>
      </c>
      <c r="C170" s="228">
        <v>0.4</v>
      </c>
      <c r="D170" s="229">
        <f>'[2]Таблица 7 .1'!T18</f>
        <v>69779.30688169124</v>
      </c>
      <c r="E170" s="229">
        <f t="shared" si="7"/>
        <v>1496.93</v>
      </c>
      <c r="F170" s="254">
        <f t="shared" si="6"/>
        <v>46.61494317148513</v>
      </c>
    </row>
    <row r="171" spans="1:6" ht="37.5" customHeight="1">
      <c r="A171" s="233"/>
      <c r="B171" s="230" t="s">
        <v>52</v>
      </c>
      <c r="C171" s="231" t="s">
        <v>15</v>
      </c>
      <c r="D171" s="229">
        <f>'[2]Таблица 7 .1'!V18</f>
        <v>636063.8471915894</v>
      </c>
      <c r="E171" s="229">
        <f t="shared" si="7"/>
        <v>10220.426</v>
      </c>
      <c r="F171" s="254">
        <f t="shared" si="6"/>
        <v>62.23457292206699</v>
      </c>
    </row>
    <row r="172" spans="1:6" s="8" customFormat="1" ht="38.25" customHeight="1">
      <c r="A172" s="233"/>
      <c r="B172" s="224" t="s">
        <v>46</v>
      </c>
      <c r="C172" s="231" t="s">
        <v>15</v>
      </c>
      <c r="D172" s="229">
        <f>'[2]Таблица 7 .1'!W18</f>
        <v>120336.40352273313</v>
      </c>
      <c r="E172" s="229">
        <f t="shared" si="7"/>
        <v>7585</v>
      </c>
      <c r="F172" s="254">
        <f t="shared" si="6"/>
        <v>15.86504990411775</v>
      </c>
    </row>
    <row r="173" spans="1:6" s="8" customFormat="1" ht="38.25" customHeight="1">
      <c r="A173" s="233"/>
      <c r="B173" s="230" t="s">
        <v>52</v>
      </c>
      <c r="C173" s="231" t="s">
        <v>83</v>
      </c>
      <c r="D173" s="229">
        <f>'[2]Таблица 7 .1'!X18</f>
        <v>106176.50234000939</v>
      </c>
      <c r="E173" s="229">
        <f>E20</f>
        <v>2690</v>
      </c>
      <c r="F173" s="254">
        <f t="shared" si="6"/>
        <v>39.47081871375814</v>
      </c>
    </row>
    <row r="174" spans="1:6" s="8" customFormat="1" ht="38.25" customHeight="1">
      <c r="A174" s="233"/>
      <c r="B174" s="224" t="s">
        <v>46</v>
      </c>
      <c r="C174" s="231" t="s">
        <v>83</v>
      </c>
      <c r="D174" s="229">
        <f>'[2]Таблица 7 .1'!Y18</f>
        <v>21235.30046800188</v>
      </c>
      <c r="E174" s="229">
        <f>E21</f>
        <v>800</v>
      </c>
      <c r="F174" s="254">
        <f t="shared" si="6"/>
        <v>26.544125585002348</v>
      </c>
    </row>
    <row r="175" spans="1:6" s="8" customFormat="1" ht="38.25" customHeight="1">
      <c r="A175" s="233"/>
      <c r="B175" s="230" t="s">
        <v>52</v>
      </c>
      <c r="C175" s="231" t="s">
        <v>84</v>
      </c>
      <c r="D175" s="229">
        <f>'[2]Таблица 7 .1'!Z18</f>
        <v>21235.30046800188</v>
      </c>
      <c r="E175" s="229">
        <f>E22</f>
        <v>670</v>
      </c>
      <c r="F175" s="254">
        <f t="shared" si="6"/>
        <v>31.694478310450563</v>
      </c>
    </row>
    <row r="176" spans="1:6" s="8" customFormat="1" ht="38.25" customHeight="1">
      <c r="A176" s="233"/>
      <c r="B176" s="224" t="s">
        <v>46</v>
      </c>
      <c r="C176" s="231" t="s">
        <v>84</v>
      </c>
      <c r="D176" s="229">
        <f>'[2]Таблица 7 .1'!AA18</f>
        <v>21235.30046800188</v>
      </c>
      <c r="E176" s="229">
        <f>E23</f>
        <v>1500</v>
      </c>
      <c r="F176" s="254">
        <f t="shared" si="6"/>
        <v>14.156866978667919</v>
      </c>
    </row>
    <row r="177" spans="1:6" s="8" customFormat="1" ht="38.25" customHeight="1" thickBot="1">
      <c r="A177" s="256" t="s">
        <v>328</v>
      </c>
      <c r="B177" s="257" t="s">
        <v>313</v>
      </c>
      <c r="C177" s="258"/>
      <c r="D177" s="259"/>
      <c r="E177" s="259"/>
      <c r="F177" s="260"/>
    </row>
    <row r="178" spans="1:6" ht="54" customHeight="1">
      <c r="A178" s="346" t="s">
        <v>162</v>
      </c>
      <c r="B178" s="446" t="s">
        <v>183</v>
      </c>
      <c r="C178" s="446"/>
      <c r="D178" s="446"/>
      <c r="E178" s="446"/>
      <c r="F178" s="446"/>
    </row>
    <row r="179" spans="1:6" ht="54" customHeight="1">
      <c r="A179" s="347" t="s">
        <v>163</v>
      </c>
      <c r="B179" s="447" t="s">
        <v>333</v>
      </c>
      <c r="C179" s="447"/>
      <c r="D179" s="447"/>
      <c r="E179" s="447"/>
      <c r="F179" s="447"/>
    </row>
    <row r="180" spans="1:6" ht="15.75" customHeight="1">
      <c r="A180" s="348" t="s">
        <v>198</v>
      </c>
      <c r="B180" s="433" t="s">
        <v>334</v>
      </c>
      <c r="C180" s="433"/>
      <c r="D180" s="433"/>
      <c r="E180" s="433"/>
      <c r="F180" s="433"/>
    </row>
    <row r="181" spans="2:6" ht="77.25" customHeight="1">
      <c r="B181" s="349"/>
      <c r="C181" s="350"/>
      <c r="D181" s="351"/>
      <c r="E181" s="352"/>
      <c r="F181" s="353"/>
    </row>
    <row r="182" spans="1:6" ht="23.25" customHeight="1">
      <c r="A182" s="448" t="s">
        <v>335</v>
      </c>
      <c r="B182" s="448"/>
      <c r="C182" s="350"/>
      <c r="D182" s="351"/>
      <c r="E182" s="352"/>
      <c r="F182" s="353" t="s">
        <v>336</v>
      </c>
    </row>
    <row r="183" spans="1:6" ht="60.75" customHeight="1">
      <c r="A183" s="354" t="s">
        <v>282</v>
      </c>
      <c r="B183" s="349"/>
      <c r="C183" s="350"/>
      <c r="D183" s="351"/>
      <c r="E183" s="355"/>
      <c r="F183" s="353" t="s">
        <v>284</v>
      </c>
    </row>
    <row r="184" spans="1:6" ht="20.25">
      <c r="A184" s="356"/>
      <c r="B184" s="449"/>
      <c r="C184" s="449"/>
      <c r="D184" s="357"/>
      <c r="E184" s="354"/>
      <c r="F184" s="358"/>
    </row>
    <row r="185" spans="1:6" ht="49.5" customHeight="1">
      <c r="A185" s="354" t="s">
        <v>293</v>
      </c>
      <c r="B185" s="349"/>
      <c r="C185" s="359"/>
      <c r="D185" s="351"/>
      <c r="E185" s="355"/>
      <c r="F185" s="353" t="s">
        <v>286</v>
      </c>
    </row>
    <row r="186" spans="1:6" ht="20.25">
      <c r="A186" s="354"/>
      <c r="B186" s="350"/>
      <c r="C186" s="360"/>
      <c r="D186" s="351"/>
      <c r="E186" s="355"/>
      <c r="F186" s="353"/>
    </row>
    <row r="187" spans="1:6" ht="20.25">
      <c r="A187" s="361"/>
      <c r="B187" s="349"/>
      <c r="C187" s="360"/>
      <c r="D187" s="352"/>
      <c r="E187" s="355"/>
      <c r="F187" s="353"/>
    </row>
    <row r="188" spans="1:6" ht="15.75">
      <c r="A188" s="362"/>
      <c r="B188" s="362"/>
      <c r="C188" s="362"/>
      <c r="F188" s="363"/>
    </row>
    <row r="189" spans="1:6" ht="15.75">
      <c r="A189" s="362"/>
      <c r="B189" s="362"/>
      <c r="C189" s="362"/>
      <c r="F189" s="363"/>
    </row>
    <row r="190" spans="2:3" ht="15.75">
      <c r="B190" s="362"/>
      <c r="C190" s="362"/>
    </row>
  </sheetData>
  <sheetProtection/>
  <mergeCells count="12">
    <mergeCell ref="L5:T5"/>
    <mergeCell ref="A5:F5"/>
    <mergeCell ref="A6:F6"/>
    <mergeCell ref="A8:A9"/>
    <mergeCell ref="D2:F2"/>
    <mergeCell ref="D3:F3"/>
    <mergeCell ref="B178:F178"/>
    <mergeCell ref="B179:F179"/>
    <mergeCell ref="A182:B182"/>
    <mergeCell ref="B184:C184"/>
    <mergeCell ref="B180:F180"/>
    <mergeCell ref="D1:F1"/>
  </mergeCells>
  <printOptions horizontalCentered="1"/>
  <pageMargins left="0" right="0" top="0" bottom="0" header="0" footer="0"/>
  <pageSetup fitToHeight="4" horizontalDpi="600" verticalDpi="600" orientation="portrait" paperSize="9" scale="49" r:id="rId1"/>
  <rowBreaks count="3" manualBreakCount="3">
    <brk id="108" max="5" man="1"/>
    <brk id="144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7"/>
  <sheetViews>
    <sheetView view="pageBreakPreview" zoomScale="80" zoomScaleSheetLayoutView="80" zoomScalePageLayoutView="0" workbookViewId="0" topLeftCell="A1">
      <selection activeCell="A6" sqref="A6:D6"/>
    </sheetView>
  </sheetViews>
  <sheetFormatPr defaultColWidth="9.00390625" defaultRowHeight="12.75"/>
  <cols>
    <col min="1" max="1" width="10.75390625" style="7" customWidth="1"/>
    <col min="2" max="2" width="62.375" style="7" customWidth="1"/>
    <col min="3" max="3" width="21.375" style="7" customWidth="1"/>
    <col min="4" max="4" width="20.25390625" style="8" customWidth="1"/>
    <col min="5" max="5" width="13.25390625" style="8" customWidth="1"/>
    <col min="6" max="6" width="19.25390625" style="7" customWidth="1"/>
    <col min="7" max="7" width="13.00390625" style="7" customWidth="1"/>
    <col min="8" max="16384" width="9.125" style="7" customWidth="1"/>
  </cols>
  <sheetData>
    <row r="1" spans="1:4" s="1" customFormat="1" ht="15.75" customHeight="1">
      <c r="A1" s="10"/>
      <c r="B1" s="3"/>
      <c r="C1" s="456" t="s">
        <v>212</v>
      </c>
      <c r="D1" s="456"/>
    </row>
    <row r="2" spans="1:4" s="1" customFormat="1" ht="39" customHeight="1">
      <c r="A2" s="10"/>
      <c r="B2" s="4"/>
      <c r="C2" s="425" t="s">
        <v>96</v>
      </c>
      <c r="D2" s="425"/>
    </row>
    <row r="3" spans="1:2" s="1" customFormat="1" ht="5.25" customHeight="1">
      <c r="A3" s="10"/>
      <c r="B3" s="4"/>
    </row>
    <row r="4" spans="1:2" s="1" customFormat="1" ht="7.5" customHeight="1">
      <c r="A4" s="10"/>
      <c r="B4" s="4"/>
    </row>
    <row r="5" spans="4:5" ht="16.5" customHeight="1">
      <c r="D5" s="7"/>
      <c r="E5" s="7"/>
    </row>
    <row r="6" spans="1:7" ht="90" customHeight="1">
      <c r="A6" s="463" t="s">
        <v>226</v>
      </c>
      <c r="B6" s="463"/>
      <c r="C6" s="463"/>
      <c r="D6" s="463"/>
      <c r="E6" s="11"/>
      <c r="F6" s="11"/>
      <c r="G6" s="11"/>
    </row>
    <row r="7" spans="1:7" s="17" customFormat="1" ht="23.25" customHeight="1">
      <c r="A7" s="459"/>
      <c r="B7" s="459"/>
      <c r="C7" s="459"/>
      <c r="D7" s="16"/>
      <c r="E7" s="16"/>
      <c r="F7" s="16"/>
      <c r="G7" s="16"/>
    </row>
    <row r="8" spans="1:7" ht="18" customHeight="1" thickBot="1">
      <c r="A8" s="12"/>
      <c r="B8" s="12"/>
      <c r="C8" s="12"/>
      <c r="D8" s="62" t="s">
        <v>119</v>
      </c>
      <c r="E8" s="11"/>
      <c r="F8" s="11"/>
      <c r="G8" s="11"/>
    </row>
    <row r="9" spans="1:5" ht="18.75" customHeight="1">
      <c r="A9" s="457" t="s">
        <v>44</v>
      </c>
      <c r="B9" s="457" t="s">
        <v>94</v>
      </c>
      <c r="C9" s="461" t="s">
        <v>167</v>
      </c>
      <c r="D9" s="457" t="s">
        <v>168</v>
      </c>
      <c r="E9" s="7"/>
    </row>
    <row r="10" spans="1:4" s="13" customFormat="1" ht="73.5" customHeight="1" thickBot="1">
      <c r="A10" s="460"/>
      <c r="B10" s="460"/>
      <c r="C10" s="462"/>
      <c r="D10" s="458"/>
    </row>
    <row r="11" spans="1:5" ht="37.5">
      <c r="A11" s="22" t="s">
        <v>19</v>
      </c>
      <c r="B11" s="45" t="s">
        <v>169</v>
      </c>
      <c r="C11" s="109">
        <f>C13+C14+C15+C16+C17+C28</f>
        <v>45604.6</v>
      </c>
      <c r="D11" s="117">
        <f>D13+D14+D15+D16+D17+D28</f>
        <v>122201.505</v>
      </c>
      <c r="E11" s="7"/>
    </row>
    <row r="12" spans="1:5" ht="18.75">
      <c r="A12" s="75"/>
      <c r="B12" s="76" t="s">
        <v>170</v>
      </c>
      <c r="C12" s="110"/>
      <c r="D12" s="118"/>
      <c r="E12" s="7"/>
    </row>
    <row r="13" spans="1:5" ht="18.75">
      <c r="A13" s="20" t="s">
        <v>23</v>
      </c>
      <c r="B13" s="46" t="s">
        <v>171</v>
      </c>
      <c r="C13" s="111">
        <v>922.45</v>
      </c>
      <c r="D13" s="119">
        <v>1644.01</v>
      </c>
      <c r="E13" s="7"/>
    </row>
    <row r="14" spans="1:5" ht="18.75">
      <c r="A14" s="20" t="s">
        <v>24</v>
      </c>
      <c r="B14" s="46" t="s">
        <v>172</v>
      </c>
      <c r="C14" s="111">
        <v>744.43</v>
      </c>
      <c r="D14" s="119">
        <v>785.37</v>
      </c>
      <c r="E14" s="7"/>
    </row>
    <row r="15" spans="1:5" ht="18.75">
      <c r="A15" s="20" t="s">
        <v>25</v>
      </c>
      <c r="B15" s="46" t="s">
        <v>173</v>
      </c>
      <c r="C15" s="111">
        <v>19033.75</v>
      </c>
      <c r="D15" s="119">
        <v>75738.97</v>
      </c>
      <c r="E15" s="7"/>
    </row>
    <row r="16" spans="1:5" ht="18.75">
      <c r="A16" s="20" t="s">
        <v>26</v>
      </c>
      <c r="B16" s="46" t="s">
        <v>174</v>
      </c>
      <c r="C16" s="111">
        <v>5676.56</v>
      </c>
      <c r="D16" s="119">
        <v>23024.65</v>
      </c>
      <c r="E16" s="7"/>
    </row>
    <row r="17" spans="1:5" ht="18.75">
      <c r="A17" s="20" t="s">
        <v>0</v>
      </c>
      <c r="B17" s="46" t="s">
        <v>175</v>
      </c>
      <c r="C17" s="112">
        <f>C19+C20+C21</f>
        <v>14281.99</v>
      </c>
      <c r="D17" s="120">
        <f>D19+D20+D21</f>
        <v>15189.39</v>
      </c>
      <c r="E17" s="7"/>
    </row>
    <row r="18" spans="1:5" ht="18.75">
      <c r="A18" s="20"/>
      <c r="B18" s="46" t="s">
        <v>176</v>
      </c>
      <c r="C18" s="112"/>
      <c r="D18" s="120"/>
      <c r="E18" s="7"/>
    </row>
    <row r="19" spans="1:5" ht="20.25" customHeight="1">
      <c r="A19" s="20" t="s">
        <v>1</v>
      </c>
      <c r="B19" s="46" t="s">
        <v>27</v>
      </c>
      <c r="C19" s="111">
        <v>529.85</v>
      </c>
      <c r="D19" s="119">
        <v>558.99</v>
      </c>
      <c r="E19" s="7"/>
    </row>
    <row r="20" spans="1:5" ht="37.5" customHeight="1">
      <c r="A20" s="20" t="s">
        <v>2</v>
      </c>
      <c r="B20" s="46" t="s">
        <v>76</v>
      </c>
      <c r="C20" s="111">
        <v>1010.24</v>
      </c>
      <c r="D20" s="119">
        <v>1065.8</v>
      </c>
      <c r="E20" s="7"/>
    </row>
    <row r="21" spans="1:5" ht="34.5" customHeight="1">
      <c r="A21" s="20" t="s">
        <v>3</v>
      </c>
      <c r="B21" s="46" t="s">
        <v>177</v>
      </c>
      <c r="C21" s="112">
        <f>C23+C24+C25+C26+C27</f>
        <v>12741.9</v>
      </c>
      <c r="D21" s="120">
        <f>D23+D24+D25+D26+D27</f>
        <v>13564.599999999999</v>
      </c>
      <c r="E21" s="7"/>
    </row>
    <row r="22" spans="1:5" ht="18.75">
      <c r="A22" s="20"/>
      <c r="B22" s="46" t="s">
        <v>170</v>
      </c>
      <c r="C22" s="112"/>
      <c r="D22" s="120"/>
      <c r="E22" s="7"/>
    </row>
    <row r="23" spans="1:5" ht="18.75">
      <c r="A23" s="20" t="s">
        <v>4</v>
      </c>
      <c r="B23" s="47" t="s">
        <v>32</v>
      </c>
      <c r="C23" s="111">
        <v>87.08</v>
      </c>
      <c r="D23" s="119">
        <v>117.26</v>
      </c>
      <c r="E23" s="7"/>
    </row>
    <row r="24" spans="1:5" ht="18.75">
      <c r="A24" s="20" t="s">
        <v>5</v>
      </c>
      <c r="B24" s="46" t="s">
        <v>20</v>
      </c>
      <c r="C24" s="111">
        <v>247.98</v>
      </c>
      <c r="D24" s="119">
        <v>261.62</v>
      </c>
      <c r="E24" s="7"/>
    </row>
    <row r="25" spans="1:5" ht="37.5">
      <c r="A25" s="20" t="s">
        <v>6</v>
      </c>
      <c r="B25" s="46" t="s">
        <v>21</v>
      </c>
      <c r="C25" s="111">
        <v>261.32</v>
      </c>
      <c r="D25" s="119">
        <v>326.91</v>
      </c>
      <c r="E25" s="7"/>
    </row>
    <row r="26" spans="1:5" ht="18.75">
      <c r="A26" s="20" t="s">
        <v>7</v>
      </c>
      <c r="B26" s="46" t="s">
        <v>22</v>
      </c>
      <c r="C26" s="111">
        <v>51.52</v>
      </c>
      <c r="D26" s="119">
        <v>54.35</v>
      </c>
      <c r="E26" s="7"/>
    </row>
    <row r="27" spans="1:5" ht="38.25" customHeight="1">
      <c r="A27" s="20" t="s">
        <v>8</v>
      </c>
      <c r="B27" s="46" t="s">
        <v>48</v>
      </c>
      <c r="C27" s="112">
        <v>12094</v>
      </c>
      <c r="D27" s="120">
        <v>12804.46</v>
      </c>
      <c r="E27" s="7"/>
    </row>
    <row r="28" spans="1:5" ht="18.75">
      <c r="A28" s="20" t="s">
        <v>9</v>
      </c>
      <c r="B28" s="46" t="s">
        <v>178</v>
      </c>
      <c r="C28" s="112">
        <f>C30+C31+C32+C33</f>
        <v>4945.42</v>
      </c>
      <c r="D28" s="120">
        <f>D30+D31+D32+D33</f>
        <v>5819.115</v>
      </c>
      <c r="E28" s="7"/>
    </row>
    <row r="29" spans="1:5" ht="18.75">
      <c r="A29" s="20"/>
      <c r="B29" s="46" t="s">
        <v>170</v>
      </c>
      <c r="C29" s="112"/>
      <c r="D29" s="121"/>
      <c r="E29" s="7"/>
    </row>
    <row r="30" spans="1:5" ht="18.75">
      <c r="A30" s="20" t="s">
        <v>10</v>
      </c>
      <c r="B30" s="46" t="s">
        <v>28</v>
      </c>
      <c r="C30" s="113">
        <v>4.05</v>
      </c>
      <c r="D30" s="122">
        <v>4.27</v>
      </c>
      <c r="E30" s="7"/>
    </row>
    <row r="31" spans="1:5" ht="18.75">
      <c r="A31" s="20" t="s">
        <v>11</v>
      </c>
      <c r="B31" s="46" t="s">
        <v>29</v>
      </c>
      <c r="C31" s="113">
        <v>333.83</v>
      </c>
      <c r="D31" s="122">
        <v>1383.23</v>
      </c>
      <c r="E31" s="7"/>
    </row>
    <row r="32" spans="1:5" ht="18.75">
      <c r="A32" s="20" t="s">
        <v>12</v>
      </c>
      <c r="B32" s="48" t="s">
        <v>120</v>
      </c>
      <c r="C32" s="113">
        <v>4205.25</v>
      </c>
      <c r="D32" s="122">
        <v>3496.595</v>
      </c>
      <c r="E32" s="7"/>
    </row>
    <row r="33" spans="1:5" ht="37.5">
      <c r="A33" s="20" t="s">
        <v>13</v>
      </c>
      <c r="B33" s="46" t="s">
        <v>179</v>
      </c>
      <c r="C33" s="113">
        <v>402.29</v>
      </c>
      <c r="D33" s="122">
        <v>935.02</v>
      </c>
      <c r="E33" s="7"/>
    </row>
    <row r="34" spans="1:5" ht="93.75">
      <c r="A34" s="19" t="s">
        <v>30</v>
      </c>
      <c r="B34" s="49" t="s">
        <v>180</v>
      </c>
      <c r="C34" s="114">
        <f>195364.5391+57882.0095399999</f>
        <v>253246.54863999988</v>
      </c>
      <c r="D34" s="123">
        <f>'Приложение 8 (объемы строит)'!AN10/1000</f>
        <v>912546.0686943847</v>
      </c>
      <c r="E34" s="7"/>
    </row>
    <row r="35" spans="1:4" s="14" customFormat="1" ht="18.75">
      <c r="A35" s="19" t="s">
        <v>14</v>
      </c>
      <c r="B35" s="49" t="s">
        <v>181</v>
      </c>
      <c r="C35" s="115"/>
      <c r="D35" s="124"/>
    </row>
    <row r="36" spans="1:4" s="8" customFormat="1" ht="41.25" customHeight="1" thickBot="1">
      <c r="A36" s="21"/>
      <c r="B36" s="50" t="s">
        <v>201</v>
      </c>
      <c r="C36" s="116">
        <f>C34+C11</f>
        <v>298851.14863999985</v>
      </c>
      <c r="D36" s="125">
        <f>D34+D11</f>
        <v>1034747.5736943847</v>
      </c>
    </row>
    <row r="37" spans="1:2" ht="12.75">
      <c r="A37" s="108" t="s">
        <v>202</v>
      </c>
      <c r="B37" s="7" t="s">
        <v>203</v>
      </c>
    </row>
  </sheetData>
  <sheetProtection/>
  <mergeCells count="8"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fitToHeight="2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3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  <col min="4" max="7" width="0" style="0" hidden="1" customWidth="1"/>
    <col min="8" max="8" width="12.375" style="0" hidden="1" customWidth="1"/>
    <col min="9" max="9" width="0" style="0" hidden="1" customWidth="1"/>
  </cols>
  <sheetData>
    <row r="1" spans="2:4" ht="12.75">
      <c r="B1" s="425" t="s">
        <v>213</v>
      </c>
      <c r="C1" s="425"/>
      <c r="D1" s="61"/>
    </row>
    <row r="2" spans="2:4" ht="39.75" customHeight="1">
      <c r="B2" s="61"/>
      <c r="C2" s="60" t="s">
        <v>96</v>
      </c>
      <c r="D2" s="61"/>
    </row>
    <row r="3" spans="1:3" ht="12.75">
      <c r="A3" s="18"/>
      <c r="B3" s="18"/>
      <c r="C3" s="18"/>
    </row>
    <row r="4" spans="1:3" ht="63" customHeight="1">
      <c r="A4" s="464" t="s">
        <v>134</v>
      </c>
      <c r="B4" s="464"/>
      <c r="C4" s="464"/>
    </row>
    <row r="5" spans="1:3" ht="15.75">
      <c r="A5" s="67"/>
      <c r="B5" s="67"/>
      <c r="C5" s="67"/>
    </row>
    <row r="6" spans="1:3" ht="15.75">
      <c r="A6" s="67"/>
      <c r="B6" s="67"/>
      <c r="C6" s="67"/>
    </row>
    <row r="7" spans="1:9" ht="64.5" customHeight="1">
      <c r="A7" s="127" t="s">
        <v>121</v>
      </c>
      <c r="B7" s="127" t="s">
        <v>125</v>
      </c>
      <c r="C7" s="127" t="s">
        <v>143</v>
      </c>
      <c r="F7" s="25">
        <v>2014</v>
      </c>
      <c r="G7" s="25">
        <v>2015</v>
      </c>
      <c r="H7" s="25" t="s">
        <v>297</v>
      </c>
      <c r="I7" s="126" t="s">
        <v>227</v>
      </c>
    </row>
    <row r="8" spans="1:3" ht="64.5" customHeight="1">
      <c r="A8" s="66" t="s">
        <v>126</v>
      </c>
      <c r="B8" s="55">
        <f>SUM(B9:B11)</f>
        <v>1985.5</v>
      </c>
      <c r="C8" s="52">
        <f>SUM(C9:C11)</f>
        <v>1480</v>
      </c>
    </row>
    <row r="9" spans="1:9" ht="31.5">
      <c r="A9" s="29" t="s">
        <v>123</v>
      </c>
      <c r="B9" s="128">
        <f>I9</f>
        <v>0</v>
      </c>
      <c r="C9" s="65"/>
      <c r="I9" s="130">
        <f>(F9+G9+H9)/1</f>
        <v>0</v>
      </c>
    </row>
    <row r="10" spans="1:9" ht="31.5">
      <c r="A10" s="29" t="s">
        <v>122</v>
      </c>
      <c r="B10" s="128">
        <f>I10</f>
        <v>1985.5</v>
      </c>
      <c r="C10" s="129">
        <f>'Приложение 8 (объемы строит)'!AD89+'Приложение 8 (объемы строит)'!AH89</f>
        <v>1480</v>
      </c>
      <c r="G10">
        <v>5</v>
      </c>
      <c r="H10">
        <f>1764+2202</f>
        <v>3966</v>
      </c>
      <c r="I10" s="130">
        <f>(G10+H10)/2</f>
        <v>1985.5</v>
      </c>
    </row>
    <row r="11" spans="1:9" ht="31.5">
      <c r="A11" s="29" t="s">
        <v>124</v>
      </c>
      <c r="B11" s="128">
        <f>I11</f>
        <v>0</v>
      </c>
      <c r="C11" s="129"/>
      <c r="I11" s="130">
        <f>(F11+G11+H11)/1</f>
        <v>0</v>
      </c>
    </row>
    <row r="12" spans="1:10" ht="84.75" customHeight="1">
      <c r="A12" s="30" t="s">
        <v>127</v>
      </c>
      <c r="B12" s="55">
        <f>SUM(B13:B17)</f>
        <v>71369.66666666667</v>
      </c>
      <c r="C12" s="55">
        <f>SUM(C13:C17)</f>
        <v>16443.3</v>
      </c>
      <c r="J12" s="327"/>
    </row>
    <row r="13" spans="1:9" ht="31.5">
      <c r="A13" s="29" t="s">
        <v>128</v>
      </c>
      <c r="B13" s="128">
        <f>I13</f>
        <v>401</v>
      </c>
      <c r="C13" s="326">
        <f>'Приложение 8 (объемы строит)'!AH50</f>
        <v>729</v>
      </c>
      <c r="G13">
        <v>0</v>
      </c>
      <c r="H13">
        <v>401</v>
      </c>
      <c r="I13" s="130">
        <f>(F13+G13+H13)/1</f>
        <v>401</v>
      </c>
    </row>
    <row r="14" spans="1:9" ht="31.5">
      <c r="A14" s="29" t="s">
        <v>129</v>
      </c>
      <c r="B14" s="128">
        <f>I14</f>
        <v>33094.333333333336</v>
      </c>
      <c r="C14" s="131">
        <f>'Приложение 8 (объемы строит)'!Z60+'Приложение 8 (объемы строит)'!Z30</f>
        <v>6093.4</v>
      </c>
      <c r="F14">
        <v>48927</v>
      </c>
      <c r="G14">
        <v>44871</v>
      </c>
      <c r="H14">
        <v>5485</v>
      </c>
      <c r="I14" s="130">
        <f>(F14+G14+H14)/3</f>
        <v>33094.333333333336</v>
      </c>
    </row>
    <row r="15" spans="1:13" ht="31.5">
      <c r="A15" s="29" t="s">
        <v>130</v>
      </c>
      <c r="B15" s="128">
        <f>I15</f>
        <v>13488.333333333334</v>
      </c>
      <c r="C15" s="65">
        <f>'Приложение 8 (объемы строит)'!Z80+'Приложение 8 (объемы строит)'!Z90+'Приложение 8 (объемы строит)'!W100</f>
        <v>4013.9</v>
      </c>
      <c r="F15">
        <v>3010</v>
      </c>
      <c r="G15">
        <v>18164</v>
      </c>
      <c r="H15">
        <v>19291</v>
      </c>
      <c r="I15" s="130">
        <f>(F15+G15+H15)/3</f>
        <v>13488.333333333334</v>
      </c>
      <c r="M15" s="130"/>
    </row>
    <row r="16" spans="1:9" ht="31.5">
      <c r="A16" s="29" t="s">
        <v>294</v>
      </c>
      <c r="B16" s="128">
        <f>I16</f>
        <v>24386</v>
      </c>
      <c r="C16" s="65">
        <f>'Приложение 8 (объемы строит)'!Z130</f>
        <v>5607</v>
      </c>
      <c r="F16">
        <f>25159+F17</f>
        <v>28067</v>
      </c>
      <c r="G16">
        <f>20426+G17</f>
        <v>20705</v>
      </c>
      <c r="I16" s="130">
        <f>(F16+G16+H16)/2</f>
        <v>24386</v>
      </c>
    </row>
    <row r="17" spans="1:9" ht="31.5" hidden="1">
      <c r="A17" s="29" t="s">
        <v>132</v>
      </c>
      <c r="B17" s="128"/>
      <c r="C17" s="129"/>
      <c r="F17">
        <v>2908</v>
      </c>
      <c r="G17">
        <v>279</v>
      </c>
      <c r="I17" s="130">
        <f>(F17+G17+H17)/2</f>
        <v>1593.5</v>
      </c>
    </row>
    <row r="18" spans="1:3" ht="66" customHeight="1">
      <c r="A18" s="66" t="s">
        <v>133</v>
      </c>
      <c r="B18" s="55">
        <f>SUM(B19:B23)</f>
        <v>0</v>
      </c>
      <c r="C18" s="55">
        <f>SUM(C19:C23)</f>
        <v>0</v>
      </c>
    </row>
    <row r="19" spans="1:3" ht="31.5">
      <c r="A19" s="29" t="s">
        <v>128</v>
      </c>
      <c r="B19" s="27"/>
      <c r="C19" s="27"/>
    </row>
    <row r="20" spans="1:3" ht="31.5">
      <c r="A20" s="29" t="s">
        <v>129</v>
      </c>
      <c r="B20" s="28"/>
      <c r="C20" s="28"/>
    </row>
    <row r="21" spans="1:3" ht="31.5">
      <c r="A21" s="29" t="s">
        <v>130</v>
      </c>
      <c r="B21" s="28"/>
      <c r="C21" s="28"/>
    </row>
    <row r="22" spans="1:3" ht="31.5">
      <c r="A22" s="29" t="s">
        <v>131</v>
      </c>
      <c r="B22" s="28"/>
      <c r="C22" s="28"/>
    </row>
    <row r="23" spans="1:3" ht="31.5">
      <c r="A23" s="29" t="s">
        <v>132</v>
      </c>
      <c r="B23" s="28"/>
      <c r="C23" s="28"/>
    </row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17"/>
  <sheetViews>
    <sheetView view="pageBreakPreview" zoomScale="83" zoomScaleSheetLayoutView="83" zoomScalePageLayoutView="0" workbookViewId="0" topLeftCell="A1">
      <selection activeCell="A4" sqref="A4:D4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  <col min="5" max="9" width="9.125" style="0" hidden="1" customWidth="1"/>
  </cols>
  <sheetData>
    <row r="1" spans="3:5" ht="12.75">
      <c r="C1" s="425" t="s">
        <v>214</v>
      </c>
      <c r="D1" s="425"/>
      <c r="E1" s="61"/>
    </row>
    <row r="2" spans="3:5" ht="39.75" customHeight="1">
      <c r="C2" s="61"/>
      <c r="D2" s="60" t="s">
        <v>96</v>
      </c>
      <c r="E2" s="61"/>
    </row>
    <row r="3" spans="1:4" ht="12.75">
      <c r="A3" s="18"/>
      <c r="B3" s="18"/>
      <c r="C3" s="18"/>
      <c r="D3" s="18"/>
    </row>
    <row r="4" spans="1:4" ht="77.25" customHeight="1">
      <c r="A4" s="464" t="s">
        <v>135</v>
      </c>
      <c r="B4" s="464"/>
      <c r="C4" s="464"/>
      <c r="D4" s="464"/>
    </row>
    <row r="5" spans="1:8" ht="15.75">
      <c r="A5" s="67"/>
      <c r="B5" s="67"/>
      <c r="C5" s="67"/>
      <c r="D5" s="67"/>
      <c r="G5" t="s">
        <v>295</v>
      </c>
      <c r="H5" t="s">
        <v>296</v>
      </c>
    </row>
    <row r="6" spans="1:9" ht="25.5">
      <c r="A6" s="67"/>
      <c r="B6" s="67"/>
      <c r="C6" s="67"/>
      <c r="D6" s="67"/>
      <c r="F6">
        <v>2014</v>
      </c>
      <c r="G6">
        <v>2015</v>
      </c>
      <c r="H6">
        <v>2016</v>
      </c>
      <c r="I6" s="126" t="s">
        <v>227</v>
      </c>
    </row>
    <row r="7" spans="1:4" ht="80.25" customHeight="1">
      <c r="A7" s="31" t="s">
        <v>121</v>
      </c>
      <c r="B7" s="31" t="s">
        <v>142</v>
      </c>
      <c r="C7" s="31" t="s">
        <v>136</v>
      </c>
      <c r="D7" s="261" t="s">
        <v>141</v>
      </c>
    </row>
    <row r="8" spans="1:4" ht="75" customHeight="1">
      <c r="A8" s="66" t="s">
        <v>137</v>
      </c>
      <c r="B8" s="106">
        <f>B9+B10+B11+B12</f>
        <v>51760</v>
      </c>
      <c r="C8" s="106">
        <f>C9+C10+C11+C12</f>
        <v>2.976</v>
      </c>
      <c r="D8" s="106">
        <f>SUM(D9:D12)</f>
        <v>0</v>
      </c>
    </row>
    <row r="9" spans="1:9" ht="25.5" customHeight="1">
      <c r="A9" s="29" t="s">
        <v>138</v>
      </c>
      <c r="B9" s="129">
        <f>I9</f>
        <v>84</v>
      </c>
      <c r="C9" s="322">
        <f>'Приложение 8 (объемы строит)'!J76</f>
        <v>1.99</v>
      </c>
      <c r="D9" s="105">
        <f>'Приложение 8 (объемы строит)'!Z76</f>
        <v>0</v>
      </c>
      <c r="F9">
        <v>84</v>
      </c>
      <c r="I9" s="324">
        <f>F9</f>
        <v>84</v>
      </c>
    </row>
    <row r="10" spans="1:9" ht="25.5" customHeight="1">
      <c r="A10" s="29" t="s">
        <v>139</v>
      </c>
      <c r="B10" s="129">
        <f>I10</f>
        <v>51676</v>
      </c>
      <c r="C10" s="199">
        <f>'Приложение 8 (объемы строит)'!J86</f>
        <v>0.986</v>
      </c>
      <c r="D10" s="105">
        <f>'Приложение 8 (объемы строит)'!Z86</f>
        <v>0</v>
      </c>
      <c r="G10">
        <v>80216</v>
      </c>
      <c r="H10">
        <v>23052</v>
      </c>
      <c r="I10" s="325">
        <f>(F9+G10+H10)/2</f>
        <v>51676</v>
      </c>
    </row>
    <row r="11" spans="1:9" ht="24" customHeight="1">
      <c r="A11" s="29" t="s">
        <v>81</v>
      </c>
      <c r="B11" s="129"/>
      <c r="C11" s="199">
        <f>'Приложение 8 (объемы строит)'!J96</f>
        <v>0</v>
      </c>
      <c r="D11" s="28"/>
      <c r="I11" s="325"/>
    </row>
    <row r="12" spans="1:10" ht="24" customHeight="1">
      <c r="A12" s="29" t="s">
        <v>82</v>
      </c>
      <c r="B12" s="129">
        <f>I12</f>
        <v>0</v>
      </c>
      <c r="C12" s="199"/>
      <c r="D12" s="105"/>
      <c r="I12" s="325">
        <f>(F12+G12+H12)/1</f>
        <v>0</v>
      </c>
      <c r="J12" s="327"/>
    </row>
    <row r="13" spans="1:9" ht="84.75" customHeight="1">
      <c r="A13" s="30" t="s">
        <v>140</v>
      </c>
      <c r="B13" s="106">
        <f>B14+B15+B16+B17</f>
        <v>55370.5</v>
      </c>
      <c r="C13" s="106">
        <f>C14+C15+C16+C17</f>
        <v>134.081</v>
      </c>
      <c r="D13" s="106">
        <f>D14+D15+D16+D17</f>
        <v>20166.748333333333</v>
      </c>
      <c r="I13" s="324"/>
    </row>
    <row r="14" spans="1:9" ht="23.25" customHeight="1">
      <c r="A14" s="29" t="s">
        <v>138</v>
      </c>
      <c r="B14" s="128">
        <f>I14</f>
        <v>49395</v>
      </c>
      <c r="C14" s="199">
        <f>'Приложение 8 (объемы строит)'!F21+'Приложение 8 (объемы строит)'!J21+'Приложение 8 (объемы строит)'!N21+'Приложение 8 (объемы строит)'!R21+'Приложение 8 (объемы строит)'!F33+'Приложение 8 (объемы строит)'!N33+'Приложение 8 (объемы строит)'!F53+'Приложение 8 (объемы строит)'!J53+'Приложение 8 (объемы строит)'!N53+'Приложение 8 (объемы строит)'!R53+'Приложение 8 (объемы строит)'!N73</f>
        <v>90.66649999999998</v>
      </c>
      <c r="D14" s="105">
        <f>'Приложение 8 (объемы строит)'!V21+'Приложение 8 (объемы строит)'!Z21+'Приложение 8 (объемы строит)'!AD21+'Приложение 8 (объемы строит)'!AH21+'Приложение 8 (объемы строит)'!V53+'Приложение 8 (объемы строит)'!Z53+'Приложение 8 (объемы строит)'!AH53</f>
        <v>9878.628333333332</v>
      </c>
      <c r="F14">
        <v>34836</v>
      </c>
      <c r="G14">
        <v>52277</v>
      </c>
      <c r="H14">
        <v>61072</v>
      </c>
      <c r="I14" s="325">
        <f>(F14+G14+H14)/3</f>
        <v>49395</v>
      </c>
    </row>
    <row r="15" spans="1:9" ht="24" customHeight="1">
      <c r="A15" s="29" t="s">
        <v>139</v>
      </c>
      <c r="B15" s="128">
        <f>I15</f>
        <v>5975.5</v>
      </c>
      <c r="C15" s="199">
        <f>'Приложение 8 (объемы строит)'!F43+'Приложение 8 (объемы строит)'!J43+'Приложение 8 (объемы строит)'!N43+'Приложение 8 (объемы строит)'!R43+'Приложение 8 (объемы строит)'!F63+'Приложение 8 (объемы строит)'!J63+'Приложение 8 (объемы строит)'!N63+'Приложение 8 (объемы строит)'!R63+'Приложение 8 (объемы строит)'!F83+'Приложение 8 (объемы строит)'!J83+'Приложение 8 (объемы строит)'!N83+'Приложение 8 (объемы строит)'!R83+'Приложение 8 (объемы строит)'!F113+'Приложение 8 (объемы строит)'!J113+'Приложение 8 (объемы строит)'!N113+'Приложение 8 (объемы строит)'!R113</f>
        <v>43.414500000000004</v>
      </c>
      <c r="D15" s="105">
        <f>'Приложение 8 (объемы строит)'!V43+'Приложение 8 (объемы строит)'!Z43+'Приложение 8 (объемы строит)'!AD43+'Приложение 8 (объемы строит)'!AH43+'Приложение 8 (объемы строит)'!V63+'Приложение 8 (объемы строит)'!Z63+'Приложение 8 (объемы строит)'!AD63+'Приложение 8 (объемы строит)'!AH63+'Приложение 8 (объемы строит)'!V83+'Приложение 8 (объемы строит)'!Z83+'Приложение 8 (объемы строит)'!AD83+'Приложение 8 (объемы строит)'!AH83+'Приложение 8 (объемы строит)'!V113+'Приложение 8 (объемы строит)'!Z113+'Приложение 8 (объемы строит)'!AD113+'Приложение 8 (объемы строит)'!AH113</f>
        <v>10288.12</v>
      </c>
      <c r="F15">
        <v>6533</v>
      </c>
      <c r="G15">
        <v>5418</v>
      </c>
      <c r="I15" s="325">
        <f>(F15+G15+H15)/2</f>
        <v>5975.5</v>
      </c>
    </row>
    <row r="16" spans="1:9" ht="24" customHeight="1">
      <c r="A16" s="29" t="s">
        <v>81</v>
      </c>
      <c r="B16" s="128"/>
      <c r="C16" s="199">
        <f>'Приложение 8 (объемы строит)'!F93+'Приложение 8 (объемы строит)'!J93+'Приложение 8 (объемы строит)'!N93+'Приложение 8 (объемы строит)'!R93</f>
        <v>0</v>
      </c>
      <c r="D16" s="107">
        <f>'Приложение 8 (объемы строит)'!Z93+'Приложение 8 (объемы строит)'!AD93+'Приложение 8 (объемы строит)'!AH93</f>
        <v>0</v>
      </c>
      <c r="I16" s="325"/>
    </row>
    <row r="17" spans="1:11" ht="29.25" customHeight="1">
      <c r="A17" s="28" t="s">
        <v>82</v>
      </c>
      <c r="B17" s="128">
        <f>I17</f>
        <v>0</v>
      </c>
      <c r="C17" s="323"/>
      <c r="D17" s="200"/>
      <c r="I17" s="325">
        <f>(F17+G17+H17)/1</f>
        <v>0</v>
      </c>
      <c r="K17" s="130"/>
    </row>
  </sheetData>
  <sheetProtection/>
  <mergeCells count="2">
    <mergeCell ref="C1:D1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T161"/>
  <sheetViews>
    <sheetView zoomScale="87" zoomScaleNormal="87" zoomScalePageLayoutView="0" workbookViewId="0" topLeftCell="AB5">
      <selection activeCell="AS19" sqref="AS19"/>
    </sheetView>
  </sheetViews>
  <sheetFormatPr defaultColWidth="8.875" defaultRowHeight="12.75"/>
  <cols>
    <col min="1" max="1" width="4.625" style="136" customWidth="1"/>
    <col min="2" max="2" width="25.125" style="136" customWidth="1"/>
    <col min="3" max="5" width="9.25390625" style="157" customWidth="1"/>
    <col min="6" max="6" width="10.125" style="157" customWidth="1"/>
    <col min="7" max="7" width="9.25390625" style="157" customWidth="1"/>
    <col min="8" max="8" width="13.875" style="157" customWidth="1"/>
    <col min="9" max="9" width="9.25390625" style="157" customWidth="1"/>
    <col min="10" max="10" width="10.00390625" style="157" customWidth="1"/>
    <col min="11" max="13" width="9.25390625" style="157" customWidth="1"/>
    <col min="14" max="14" width="10.125" style="157" customWidth="1"/>
    <col min="15" max="15" width="9.25390625" style="157" customWidth="1"/>
    <col min="16" max="16" width="11.75390625" style="157" customWidth="1"/>
    <col min="17" max="17" width="9.25390625" style="157" customWidth="1"/>
    <col min="18" max="18" width="9.875" style="157" customWidth="1"/>
    <col min="19" max="19" width="12.25390625" style="157" customWidth="1"/>
    <col min="20" max="20" width="11.125" style="157" customWidth="1"/>
    <col min="21" max="21" width="11.625" style="157" customWidth="1"/>
    <col min="22" max="22" width="11.875" style="157" customWidth="1"/>
    <col min="23" max="23" width="13.00390625" style="157" customWidth="1"/>
    <col min="24" max="24" width="13.125" style="157" customWidth="1"/>
    <col min="25" max="25" width="12.00390625" style="157" customWidth="1"/>
    <col min="26" max="26" width="11.875" style="157" customWidth="1"/>
    <col min="27" max="27" width="11.375" style="157" customWidth="1"/>
    <col min="28" max="28" width="11.125" style="157" customWidth="1"/>
    <col min="29" max="29" width="11.25390625" style="157" customWidth="1"/>
    <col min="30" max="30" width="11.875" style="157" customWidth="1"/>
    <col min="31" max="31" width="11.00390625" style="157" customWidth="1"/>
    <col min="32" max="33" width="9.25390625" style="157" customWidth="1"/>
    <col min="34" max="34" width="10.25390625" style="157" customWidth="1"/>
    <col min="35" max="35" width="16.125" style="136" customWidth="1"/>
    <col min="36" max="36" width="17.375" style="136" customWidth="1"/>
    <col min="37" max="37" width="17.00390625" style="136" customWidth="1"/>
    <col min="38" max="38" width="15.875" style="136" customWidth="1"/>
    <col min="39" max="39" width="17.875" style="136" customWidth="1"/>
    <col min="40" max="40" width="17.25390625" style="136" customWidth="1"/>
    <col min="41" max="41" width="16.875" style="136" customWidth="1"/>
    <col min="42" max="42" width="12.75390625" style="136" bestFit="1" customWidth="1"/>
    <col min="43" max="43" width="10.75390625" style="136" bestFit="1" customWidth="1"/>
    <col min="44" max="44" width="8.875" style="136" customWidth="1"/>
    <col min="45" max="45" width="9.00390625" style="136" bestFit="1" customWidth="1"/>
    <col min="46" max="46" width="13.875" style="136" bestFit="1" customWidth="1"/>
    <col min="47" max="16384" width="8.875" style="136" customWidth="1"/>
  </cols>
  <sheetData>
    <row r="1" spans="2:34" s="132" customFormat="1" ht="15.75" customHeight="1" hidden="1">
      <c r="B1" s="133"/>
      <c r="C1" s="134"/>
      <c r="D1" s="135"/>
      <c r="H1" s="135"/>
      <c r="AD1" s="478" t="s">
        <v>228</v>
      </c>
      <c r="AE1" s="478"/>
      <c r="AF1" s="478"/>
      <c r="AG1" s="478"/>
      <c r="AH1" s="478"/>
    </row>
    <row r="2" spans="2:34" s="132" customFormat="1" ht="15.75" customHeight="1">
      <c r="B2" s="133"/>
      <c r="C2" s="134"/>
      <c r="D2" s="135"/>
      <c r="H2" s="135"/>
      <c r="AE2" s="479"/>
      <c r="AF2" s="479"/>
      <c r="AG2" s="479"/>
      <c r="AH2" s="479"/>
    </row>
    <row r="3" spans="1:34" ht="75.75" customHeight="1">
      <c r="A3" s="480" t="s">
        <v>229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</row>
    <row r="4" spans="3:34" ht="15" customHeight="1">
      <c r="C4" s="481" t="s">
        <v>230</v>
      </c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137"/>
    </row>
    <row r="5" spans="3:34" ht="15"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</row>
    <row r="6" spans="1:34" ht="28.5" customHeight="1">
      <c r="A6" s="482" t="s">
        <v>231</v>
      </c>
      <c r="B6" s="474" t="s">
        <v>232</v>
      </c>
      <c r="C6" s="476" t="s">
        <v>233</v>
      </c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 t="s">
        <v>234</v>
      </c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</row>
    <row r="7" spans="1:34" ht="27.75" customHeight="1">
      <c r="A7" s="482"/>
      <c r="B7" s="474"/>
      <c r="C7" s="476" t="s">
        <v>235</v>
      </c>
      <c r="D7" s="476"/>
      <c r="E7" s="476"/>
      <c r="F7" s="476"/>
      <c r="G7" s="476"/>
      <c r="H7" s="476"/>
      <c r="I7" s="476"/>
      <c r="J7" s="476"/>
      <c r="K7" s="476" t="s">
        <v>236</v>
      </c>
      <c r="L7" s="476"/>
      <c r="M7" s="476"/>
      <c r="N7" s="476"/>
      <c r="O7" s="476"/>
      <c r="P7" s="476"/>
      <c r="Q7" s="476"/>
      <c r="R7" s="476"/>
      <c r="S7" s="476" t="s">
        <v>235</v>
      </c>
      <c r="T7" s="476"/>
      <c r="U7" s="476"/>
      <c r="V7" s="476"/>
      <c r="W7" s="476"/>
      <c r="X7" s="476"/>
      <c r="Y7" s="476"/>
      <c r="Z7" s="476"/>
      <c r="AA7" s="476" t="s">
        <v>236</v>
      </c>
      <c r="AB7" s="476"/>
      <c r="AC7" s="476"/>
      <c r="AD7" s="476"/>
      <c r="AE7" s="476"/>
      <c r="AF7" s="476"/>
      <c r="AG7" s="476"/>
      <c r="AH7" s="476"/>
    </row>
    <row r="8" spans="1:41" ht="27" customHeight="1">
      <c r="A8" s="482"/>
      <c r="B8" s="474"/>
      <c r="C8" s="477" t="s">
        <v>237</v>
      </c>
      <c r="D8" s="477"/>
      <c r="E8" s="477"/>
      <c r="F8" s="477"/>
      <c r="G8" s="477" t="s">
        <v>238</v>
      </c>
      <c r="H8" s="477"/>
      <c r="I8" s="477"/>
      <c r="J8" s="477"/>
      <c r="K8" s="477" t="s">
        <v>239</v>
      </c>
      <c r="L8" s="477"/>
      <c r="M8" s="477"/>
      <c r="N8" s="477"/>
      <c r="O8" s="477" t="s">
        <v>240</v>
      </c>
      <c r="P8" s="477"/>
      <c r="Q8" s="477"/>
      <c r="R8" s="477"/>
      <c r="S8" s="477" t="s">
        <v>237</v>
      </c>
      <c r="T8" s="477"/>
      <c r="U8" s="477"/>
      <c r="V8" s="477"/>
      <c r="W8" s="477" t="s">
        <v>238</v>
      </c>
      <c r="X8" s="477"/>
      <c r="Y8" s="477"/>
      <c r="Z8" s="477"/>
      <c r="AA8" s="477" t="s">
        <v>239</v>
      </c>
      <c r="AB8" s="477"/>
      <c r="AC8" s="477"/>
      <c r="AD8" s="477"/>
      <c r="AE8" s="477" t="s">
        <v>240</v>
      </c>
      <c r="AF8" s="477"/>
      <c r="AG8" s="477"/>
      <c r="AH8" s="477"/>
      <c r="AN8" s="138">
        <f>AN10-AN20</f>
        <v>344781897.7746192</v>
      </c>
      <c r="AO8" s="138">
        <f>AN8-AO11</f>
        <v>39240702.12404597</v>
      </c>
    </row>
    <row r="9" spans="1:40" ht="54" customHeight="1">
      <c r="A9" s="374"/>
      <c r="B9" s="372" t="s">
        <v>241</v>
      </c>
      <c r="C9" s="373">
        <v>2014</v>
      </c>
      <c r="D9" s="373">
        <v>2015</v>
      </c>
      <c r="E9" s="373" t="s">
        <v>242</v>
      </c>
      <c r="F9" s="373" t="s">
        <v>243</v>
      </c>
      <c r="G9" s="373">
        <v>2014</v>
      </c>
      <c r="H9" s="373">
        <v>2015</v>
      </c>
      <c r="I9" s="373" t="s">
        <v>242</v>
      </c>
      <c r="J9" s="373" t="s">
        <v>243</v>
      </c>
      <c r="K9" s="373">
        <v>2014</v>
      </c>
      <c r="L9" s="373">
        <v>2015</v>
      </c>
      <c r="M9" s="373" t="s">
        <v>242</v>
      </c>
      <c r="N9" s="373" t="s">
        <v>243</v>
      </c>
      <c r="O9" s="373">
        <v>2014</v>
      </c>
      <c r="P9" s="373">
        <v>2015</v>
      </c>
      <c r="Q9" s="373" t="s">
        <v>242</v>
      </c>
      <c r="R9" s="373" t="s">
        <v>243</v>
      </c>
      <c r="S9" s="373">
        <v>2014</v>
      </c>
      <c r="T9" s="373">
        <v>2015</v>
      </c>
      <c r="U9" s="373" t="s">
        <v>242</v>
      </c>
      <c r="V9" s="373" t="s">
        <v>243</v>
      </c>
      <c r="W9" s="373">
        <v>2014</v>
      </c>
      <c r="X9" s="373">
        <v>2015</v>
      </c>
      <c r="Y9" s="373" t="s">
        <v>242</v>
      </c>
      <c r="Z9" s="373" t="s">
        <v>243</v>
      </c>
      <c r="AA9" s="373">
        <v>2014</v>
      </c>
      <c r="AB9" s="373">
        <v>2015</v>
      </c>
      <c r="AC9" s="373" t="s">
        <v>242</v>
      </c>
      <c r="AD9" s="373" t="s">
        <v>243</v>
      </c>
      <c r="AE9" s="373">
        <v>2014</v>
      </c>
      <c r="AF9" s="373">
        <v>2015</v>
      </c>
      <c r="AG9" s="373" t="s">
        <v>242</v>
      </c>
      <c r="AH9" s="373" t="s">
        <v>243</v>
      </c>
      <c r="AI9" s="139"/>
      <c r="AJ9" s="139"/>
      <c r="AK9" s="139"/>
      <c r="AL9" s="139"/>
      <c r="AM9" s="139"/>
      <c r="AN9" s="140"/>
    </row>
    <row r="10" spans="1:43" ht="15" customHeight="1">
      <c r="A10" s="474" t="s">
        <v>244</v>
      </c>
      <c r="B10" s="474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0"/>
      <c r="AJ10" s="142">
        <f>AJ20+AJ32+AJ42+AJ52+AJ62+AJ72+AJ82+AJ92+AJ102+AJ112+AJ122+AJ132</f>
        <v>19516187.390699998</v>
      </c>
      <c r="AK10" s="142">
        <f>AK20+AK32+AK42+AK52+AK62+AK72+AK82+AK92+AK102+AK112+AK122+AK132</f>
        <v>613896433.3427998</v>
      </c>
      <c r="AL10" s="142">
        <f>AL20+AL32+AL42+AL52+AL62+AL72+AL82+AL92+AL102+AL112+AL122+AL132</f>
        <v>192707970.87291068</v>
      </c>
      <c r="AM10" s="142">
        <f>AM20+AM32+AM42+AM52+AM62+AM72+AM82+AM92+AM102+AM112+AM122+AM132</f>
        <v>86425477.08797412</v>
      </c>
      <c r="AN10" s="142">
        <f>AN20+AN32+AN42+AN52+AN62+AN72+AN82+AN92+AN102+AN112+AN122+AN132</f>
        <v>912546068.6943847</v>
      </c>
      <c r="AO10" s="138">
        <f>AN10/'[1]Приложение 4 (производство)'!B357</f>
        <v>191470.01021703414</v>
      </c>
      <c r="AP10" s="138"/>
      <c r="AQ10" s="138">
        <f>AN10/'[1]Приложение 4 (производство)'!C357</f>
        <v>12585.162684968895</v>
      </c>
    </row>
    <row r="11" spans="1:45" ht="41.25" customHeight="1">
      <c r="A11" s="139">
        <v>1</v>
      </c>
      <c r="B11" s="143" t="s">
        <v>245</v>
      </c>
      <c r="C11" s="144">
        <f aca="true" t="shared" si="0" ref="C11:I13">C21+C33+C43+C53+C63+C73+C83+C93+C103+C113+C123+C133</f>
        <v>19.588</v>
      </c>
      <c r="D11" s="144">
        <f t="shared" si="0"/>
        <v>1.232</v>
      </c>
      <c r="E11" s="144">
        <f t="shared" si="0"/>
        <v>0</v>
      </c>
      <c r="F11" s="145">
        <f>F21+F33+F43+F53+F63+F73+F83+F93+F103+F113+F123+F133</f>
        <v>10.130666666666665</v>
      </c>
      <c r="G11" s="144">
        <f>G21+G33+G43+G53+G63+G73+G83+G93+G103+G113+G123+G133</f>
        <v>34.884</v>
      </c>
      <c r="H11" s="144">
        <f>H21+H33+H43+H53+H64+H73+H83+H93+H103+H113+H123+H133</f>
        <v>29.362000000000002</v>
      </c>
      <c r="I11" s="144">
        <f t="shared" si="0"/>
        <v>4.380000000000001</v>
      </c>
      <c r="J11" s="145">
        <f>J23+J24+J33+J43+J53+J63+J73+J83+J93+J103+J113+J123+J133</f>
        <v>26.4475</v>
      </c>
      <c r="K11" s="144">
        <f aca="true" t="shared" si="1" ref="K11:M13">K21+K33+K43+K53+K63+K73+K83+K93+K103+K113+K123+K133</f>
        <v>25.503</v>
      </c>
      <c r="L11" s="144">
        <f t="shared" si="1"/>
        <v>94.613</v>
      </c>
      <c r="M11" s="144">
        <f t="shared" si="1"/>
        <v>41.385000000000005</v>
      </c>
      <c r="N11" s="145">
        <f>N23+N24+N33+N43+N53+N63+N73+N83+N93+N103+N113+N123+N133</f>
        <v>90.41716666666666</v>
      </c>
      <c r="O11" s="144">
        <f aca="true" t="shared" si="2" ref="O11:Q13">O21+O33+O43+O53+O63+O73+O83+O93+O103+O113+O123+O133</f>
        <v>0</v>
      </c>
      <c r="P11" s="144">
        <f t="shared" si="2"/>
        <v>4.254</v>
      </c>
      <c r="Q11" s="144">
        <f t="shared" si="2"/>
        <v>12.991000000000001</v>
      </c>
      <c r="R11" s="145">
        <f>R23+R33+R43+R53+R63+R73+R83+R93+R103+R113+R123+R133</f>
        <v>7.0856666666666674</v>
      </c>
      <c r="S11" s="144">
        <f aca="true" t="shared" si="3" ref="S11:U13">S21+S33+S43+S53+S63+S73+S83+S93+S103+S113+S123+S133</f>
        <v>3711</v>
      </c>
      <c r="T11" s="144">
        <f t="shared" si="3"/>
        <v>0</v>
      </c>
      <c r="U11" s="144">
        <f t="shared" si="3"/>
        <v>0</v>
      </c>
      <c r="V11" s="145">
        <f>V23+V33+V43+V53+V63+V73+V83+V93+V103+V113+V123+V133</f>
        <v>3711</v>
      </c>
      <c r="W11" s="144">
        <f aca="true" t="shared" si="4" ref="W11:AH12">W21+W33+W43+W53+W63+W73+W83+W93+W103+W113+W123+W133</f>
        <v>4236.1</v>
      </c>
      <c r="X11" s="144">
        <f t="shared" si="4"/>
        <v>11763.130000000001</v>
      </c>
      <c r="Y11" s="144">
        <f t="shared" si="4"/>
        <v>982.5600000000001</v>
      </c>
      <c r="Z11" s="145">
        <f t="shared" si="4"/>
        <v>9655.413333333334</v>
      </c>
      <c r="AA11" s="144">
        <f t="shared" si="4"/>
        <v>3847.88</v>
      </c>
      <c r="AB11" s="144">
        <f t="shared" si="4"/>
        <v>0</v>
      </c>
      <c r="AC11" s="144">
        <f t="shared" si="4"/>
        <v>0</v>
      </c>
      <c r="AD11" s="145">
        <f t="shared" si="4"/>
        <v>3847.88</v>
      </c>
      <c r="AE11" s="144">
        <f t="shared" si="4"/>
        <v>0</v>
      </c>
      <c r="AF11" s="144">
        <f t="shared" si="4"/>
        <v>1545.51</v>
      </c>
      <c r="AG11" s="144">
        <f t="shared" si="4"/>
        <v>3733.73</v>
      </c>
      <c r="AH11" s="145">
        <f t="shared" si="4"/>
        <v>2952.4550000000004</v>
      </c>
      <c r="AI11" s="140"/>
      <c r="AJ11" s="146"/>
      <c r="AK11" s="146"/>
      <c r="AL11" s="146"/>
      <c r="AM11" s="146"/>
      <c r="AN11" s="146"/>
      <c r="AO11" s="147">
        <f>AN10-AN20-0.75*(AN32+AN42+AN52+AN62)/2</f>
        <v>305541195.65057325</v>
      </c>
      <c r="AP11" s="136" t="s">
        <v>246</v>
      </c>
      <c r="AQ11" s="138">
        <f>AO11/'[1]Приложение 4 (производство)'!B358</f>
        <v>404690.32536499767</v>
      </c>
      <c r="AR11" s="138"/>
      <c r="AS11" s="138">
        <f>AO11/'[1]Приложение 4 (производство)'!C358</f>
        <v>7925.371679660533</v>
      </c>
    </row>
    <row r="12" spans="1:41" ht="41.25" customHeight="1">
      <c r="A12" s="148" t="s">
        <v>247</v>
      </c>
      <c r="B12" s="143" t="s">
        <v>85</v>
      </c>
      <c r="C12" s="144">
        <f t="shared" si="0"/>
        <v>0</v>
      </c>
      <c r="D12" s="144">
        <f t="shared" si="0"/>
        <v>0</v>
      </c>
      <c r="E12" s="144">
        <f t="shared" si="0"/>
        <v>0</v>
      </c>
      <c r="F12" s="145">
        <f>F22+F34+F44+F54+F64+F74+F84+F94+F104+F114+F124+F134</f>
        <v>0</v>
      </c>
      <c r="G12" s="144">
        <f>G22+G34+G44+G54+G64+G74+G84+G94+G104+G114+G124+G134</f>
        <v>0</v>
      </c>
      <c r="H12" s="144">
        <f>H22+H34+H44+H54+H65+H74+H84+H94+H104+H114+H124+H134</f>
        <v>0.031</v>
      </c>
      <c r="I12" s="144">
        <f>I22+I34+I44+I54+I64+I74+I84+I94+I104+I114+I124+I134</f>
        <v>0</v>
      </c>
      <c r="J12" s="145">
        <f>J22+J34+J44+J54+J64+J74+J84+J94+J104+J114+J124+J134</f>
        <v>0</v>
      </c>
      <c r="K12" s="144">
        <f t="shared" si="1"/>
        <v>0</v>
      </c>
      <c r="L12" s="144">
        <f t="shared" si="1"/>
        <v>0</v>
      </c>
      <c r="M12" s="144">
        <f t="shared" si="1"/>
        <v>0</v>
      </c>
      <c r="N12" s="145">
        <f>N22+N34+N44+N54+N64+N74+N84+N94+N104+N114+N124+N134</f>
        <v>0</v>
      </c>
      <c r="O12" s="144">
        <f t="shared" si="2"/>
        <v>0</v>
      </c>
      <c r="P12" s="144">
        <f t="shared" si="2"/>
        <v>0</v>
      </c>
      <c r="Q12" s="144">
        <f t="shared" si="2"/>
        <v>0</v>
      </c>
      <c r="R12" s="145">
        <f>R22+R34+R44+R54+R64+R74+R84+R94+R104+R114+R124+R134</f>
        <v>0</v>
      </c>
      <c r="S12" s="144">
        <f t="shared" si="3"/>
        <v>0</v>
      </c>
      <c r="T12" s="144">
        <f t="shared" si="3"/>
        <v>0</v>
      </c>
      <c r="U12" s="144">
        <f t="shared" si="3"/>
        <v>0</v>
      </c>
      <c r="V12" s="145">
        <f>V22+V34+V44+V54+V64+V74+V84+V94+V104+V114+V124+V134</f>
        <v>0</v>
      </c>
      <c r="W12" s="144">
        <f t="shared" si="4"/>
        <v>0</v>
      </c>
      <c r="X12" s="144">
        <f t="shared" si="4"/>
        <v>0</v>
      </c>
      <c r="Y12" s="144">
        <f t="shared" si="4"/>
        <v>0</v>
      </c>
      <c r="Z12" s="145">
        <f t="shared" si="4"/>
        <v>0</v>
      </c>
      <c r="AA12" s="144">
        <f t="shared" si="4"/>
        <v>0</v>
      </c>
      <c r="AB12" s="144">
        <f t="shared" si="4"/>
        <v>0</v>
      </c>
      <c r="AC12" s="144">
        <f t="shared" si="4"/>
        <v>0</v>
      </c>
      <c r="AD12" s="145">
        <f t="shared" si="4"/>
        <v>0</v>
      </c>
      <c r="AE12" s="144">
        <f t="shared" si="4"/>
        <v>0</v>
      </c>
      <c r="AF12" s="144">
        <f t="shared" si="4"/>
        <v>0</v>
      </c>
      <c r="AG12" s="144">
        <f t="shared" si="4"/>
        <v>0</v>
      </c>
      <c r="AH12" s="145">
        <f t="shared" si="4"/>
        <v>0</v>
      </c>
      <c r="AI12" s="140"/>
      <c r="AJ12" s="146">
        <f aca="true" t="shared" si="5" ref="AJ12:AN13">AJ22+AJ34+AJ44+AJ54+AJ64+AJ74+AJ84+AJ94+AJ104+AJ114+AJ124+AJ134</f>
        <v>0</v>
      </c>
      <c r="AK12" s="146">
        <f t="shared" si="5"/>
        <v>0</v>
      </c>
      <c r="AL12" s="146">
        <f t="shared" si="5"/>
        <v>0</v>
      </c>
      <c r="AM12" s="146">
        <f t="shared" si="5"/>
        <v>0</v>
      </c>
      <c r="AN12" s="146">
        <f t="shared" si="5"/>
        <v>0</v>
      </c>
      <c r="AO12" s="138">
        <f>AN10-AN20-AO35-AO42-AO53-AO63</f>
        <v>305541195.6505732</v>
      </c>
    </row>
    <row r="13" spans="1:46" ht="41.25" customHeight="1">
      <c r="A13" s="148" t="s">
        <v>248</v>
      </c>
      <c r="B13" s="143" t="s">
        <v>86</v>
      </c>
      <c r="C13" s="144">
        <f t="shared" si="0"/>
        <v>19.588</v>
      </c>
      <c r="D13" s="144">
        <f>D23+D35+D45+D55+D65+D75+D85+D95+D105+D115+D125+D135</f>
        <v>1.232</v>
      </c>
      <c r="E13" s="144">
        <f t="shared" si="0"/>
        <v>0</v>
      </c>
      <c r="F13" s="145">
        <f>F23+F35+F45+F55+F65+F75+F85+F95+F105+F115+F125+F135</f>
        <v>10.130666666666665</v>
      </c>
      <c r="G13" s="144">
        <f t="shared" si="0"/>
        <v>34.884</v>
      </c>
      <c r="H13" s="144">
        <f>H23+H35+H45+H55+H66+H75+H85+H95+H105+H115+H125+H135</f>
        <v>29.362000000000002</v>
      </c>
      <c r="I13" s="144">
        <f>I23+I35+I45+I55+I66+I75+I85+I95+I105+I115+I125+I135</f>
        <v>4.380000000000001</v>
      </c>
      <c r="J13" s="145">
        <f>J23+J24+J35+J45+J55+J65+J75+J85+J95+J105+J115+J125+J135</f>
        <v>26.4475</v>
      </c>
      <c r="K13" s="144">
        <f t="shared" si="1"/>
        <v>25.503</v>
      </c>
      <c r="L13" s="144">
        <f t="shared" si="1"/>
        <v>70.324</v>
      </c>
      <c r="M13" s="144">
        <f t="shared" si="1"/>
        <v>41.385000000000005</v>
      </c>
      <c r="N13" s="145">
        <f>N23+N24+N35+N45+N55+N65+N75+N85+N95+N105+N115+N125+N135</f>
        <v>90.41716666666666</v>
      </c>
      <c r="O13" s="144">
        <f t="shared" si="2"/>
        <v>0</v>
      </c>
      <c r="P13" s="144">
        <f t="shared" si="2"/>
        <v>4.254</v>
      </c>
      <c r="Q13" s="144">
        <f t="shared" si="2"/>
        <v>12.991000000000001</v>
      </c>
      <c r="R13" s="145">
        <f>R23+R35+R45+R55+R65+R75+R85+R95+R105+R115+R125+R135</f>
        <v>7.0856666666666674</v>
      </c>
      <c r="S13" s="144">
        <f t="shared" si="3"/>
        <v>3711</v>
      </c>
      <c r="T13" s="144">
        <f t="shared" si="3"/>
        <v>0</v>
      </c>
      <c r="U13" s="144">
        <f t="shared" si="3"/>
        <v>0</v>
      </c>
      <c r="V13" s="145">
        <f>V23+V35+V45+V55+V65+V75+V85+V95+V105+V115+V125+V135</f>
        <v>3711</v>
      </c>
      <c r="W13" s="144">
        <f>W24+W35+W45+W55+W65+W75+W85+W95+W105+W115+W125+W135</f>
        <v>2635.6</v>
      </c>
      <c r="X13" s="144">
        <f>X23+X35+X45+X55+X65+X75+X85+X95+X105+X115+X125+X135</f>
        <v>11763.130000000001</v>
      </c>
      <c r="Y13" s="144">
        <f>Y23+Y35+Y45+Y55+Y65+Y75+Y85+Y95+Y105+Y115+Y125+Y135</f>
        <v>982.5600000000001</v>
      </c>
      <c r="Z13" s="145">
        <f>Z21+Z35+Z45+Z55+Z65+Z75+Z85+Z95+Z105+Z115+Z125+Z135</f>
        <v>9655.413333333334</v>
      </c>
      <c r="AA13" s="144">
        <f>AA23+AA35+AA45+AA55+AA65+AA75+AA85+AA95+AA105+AA115+AA125+AA135</f>
        <v>3847.88</v>
      </c>
      <c r="AB13" s="144">
        <f>AB23+AB35+AB45+AB55+AB65+AB75+AB85+AB95+AB105+AB115+AB125+AB135</f>
        <v>0</v>
      </c>
      <c r="AC13" s="144">
        <f>AC23+AC35+AC45+AC55+AC65+AC75+AC85+AC95+AC105+AC115+AC125+AC135</f>
        <v>0</v>
      </c>
      <c r="AD13" s="145">
        <f>AD21+AD35+AD45+AD55+AD65+AD75+AD85+AD95+AD105+AD115+AD125+AD135</f>
        <v>3847.88</v>
      </c>
      <c r="AE13" s="144">
        <f>AE23+AE35+AE45+AE55+AE65+AE75+AE85+AE95+AE105+AE115+AE125+AE135</f>
        <v>0</v>
      </c>
      <c r="AF13" s="144">
        <f>AF23+AF35+AF45+AF55+AF65+AF75+AF85+AF95+AF105+AF115+AF125+AF135</f>
        <v>1545.51</v>
      </c>
      <c r="AG13" s="144">
        <f>AG23+AG35+AG45+AG55+AG65+AG75+AG85+AG95+AG105+AG115+AG125+AG135</f>
        <v>3733.73</v>
      </c>
      <c r="AH13" s="145">
        <f>AH21+AH35+AH45+AH55+AH65+AH75+AH85+AH95+AH105+AH115+AH125+AH135</f>
        <v>2952.4550000000004</v>
      </c>
      <c r="AI13" s="140"/>
      <c r="AJ13" s="146">
        <f t="shared" si="5"/>
        <v>19516187.390699998</v>
      </c>
      <c r="AK13" s="146">
        <f t="shared" si="5"/>
        <v>51904182.5016</v>
      </c>
      <c r="AL13" s="146">
        <f t="shared" si="5"/>
        <v>140189703.41805</v>
      </c>
      <c r="AM13" s="146">
        <f t="shared" si="5"/>
        <v>13837183.1169</v>
      </c>
      <c r="AN13" s="146">
        <f>AN23+AN35+AN45+AN55+AN65+AN75+AN85+AN95+AN105+AN115+AN125+AN135+AN24</f>
        <v>274616020.77195</v>
      </c>
      <c r="AO13" s="138">
        <f>AN13-AN23-AN24</f>
        <v>119518459.00995001</v>
      </c>
      <c r="AS13" s="136" t="s">
        <v>337</v>
      </c>
      <c r="AT13" s="138">
        <f>AO35+AO45+AO55+AO63+AN75+AN85+AN115</f>
        <v>111539714.13316876</v>
      </c>
    </row>
    <row r="14" spans="1:46" ht="41.25" customHeight="1">
      <c r="A14" s="139">
        <v>2</v>
      </c>
      <c r="B14" s="143" t="s">
        <v>249</v>
      </c>
      <c r="C14" s="144">
        <f aca="true" t="shared" si="6" ref="C14:E15">C25+C36+C46+C56+C66+C76+C86+C96+C106+C116+C126+C136</f>
        <v>0</v>
      </c>
      <c r="D14" s="144">
        <f t="shared" si="6"/>
        <v>0</v>
      </c>
      <c r="E14" s="144">
        <f t="shared" si="6"/>
        <v>0</v>
      </c>
      <c r="F14" s="145">
        <f>F25+F36+F46+F56+F66+F76+F86+F96+F106+F116+F126+F136</f>
        <v>0</v>
      </c>
      <c r="G14" s="144">
        <f>G25+G36+G46+G56+G66+G76+G86+G96+G106+G116+G126+G136</f>
        <v>1.99</v>
      </c>
      <c r="H14" s="144">
        <f>H25+H36+H46+H56+H67+H76+H86+H96+H106+H116+H126+H136</f>
        <v>0.986</v>
      </c>
      <c r="I14" s="144">
        <f>I25+I36+I46+I56+I66+I76+I86+I96+I106+I116+I126+I136</f>
        <v>0</v>
      </c>
      <c r="J14" s="145">
        <f>J25+J36+J46+J56+J66+J76+J86+J96+J106+J116+J126+J136</f>
        <v>2.976</v>
      </c>
      <c r="K14" s="144">
        <f aca="true" t="shared" si="7" ref="K14:M16">K25+K36+K46+K56+K66+K76+K86+K96+K106+K116+K126+K136</f>
        <v>0</v>
      </c>
      <c r="L14" s="144">
        <f t="shared" si="7"/>
        <v>0</v>
      </c>
      <c r="M14" s="144">
        <f t="shared" si="7"/>
        <v>0</v>
      </c>
      <c r="N14" s="145">
        <f>N25+N36+N46+N56+N66+N76+N86+N96+N106+N116+N126+N136</f>
        <v>0</v>
      </c>
      <c r="O14" s="144">
        <f aca="true" t="shared" si="8" ref="O14:Q16">O25+O36+O46+O56+O66+O76+O86+O96+O106+O116+O126+O136</f>
        <v>0</v>
      </c>
      <c r="P14" s="144">
        <f t="shared" si="8"/>
        <v>0</v>
      </c>
      <c r="Q14" s="144">
        <f t="shared" si="8"/>
        <v>0</v>
      </c>
      <c r="R14" s="145">
        <f>R25+R36+R46+R56+R66+R76+R86+R96+R106+R116+R126+R136</f>
        <v>0</v>
      </c>
      <c r="S14" s="144">
        <f aca="true" t="shared" si="9" ref="S14:U16">S25+S36+S46+S56+S66+S76+S86+S96+S106+S116+S126+S136</f>
        <v>0</v>
      </c>
      <c r="T14" s="144">
        <f t="shared" si="9"/>
        <v>0</v>
      </c>
      <c r="U14" s="144">
        <f t="shared" si="9"/>
        <v>0</v>
      </c>
      <c r="V14" s="145">
        <f>V25+V24+V36+V46+V56+V66+V76+V86+V96+V106+V116+V126+V136</f>
        <v>0</v>
      </c>
      <c r="W14" s="144">
        <f>W25+W36+W46+W56+W66+W76+W86+W96+W106+W116+W126+W136</f>
        <v>0</v>
      </c>
      <c r="X14" s="144">
        <f aca="true" t="shared" si="10" ref="X14:Y16">X25+X36+X46+X56+X66+X76+X86+X96+X106+X116+X126+X136</f>
        <v>0</v>
      </c>
      <c r="Y14" s="144">
        <f t="shared" si="10"/>
        <v>0</v>
      </c>
      <c r="Z14" s="145">
        <f>Z25+Z36+Z46+Z56+Z66+Z76+Z86+Z96+Z106+Z116+Z126+Z136</f>
        <v>0</v>
      </c>
      <c r="AA14" s="144">
        <f aca="true" t="shared" si="11" ref="AA14:AC16">AA25+AA36+AA46+AA56+AA66+AA76+AA86+AA96+AA106+AA116+AA126+AA136</f>
        <v>0</v>
      </c>
      <c r="AB14" s="144">
        <f t="shared" si="11"/>
        <v>0</v>
      </c>
      <c r="AC14" s="144">
        <f t="shared" si="11"/>
        <v>0</v>
      </c>
      <c r="AD14" s="145">
        <f>AD25+AD36+AD46+AD56+AD66+AD76+AD86+AD96+AD106+AD116+AD126+AD136</f>
        <v>0</v>
      </c>
      <c r="AE14" s="144">
        <f aca="true" t="shared" si="12" ref="AE14:AG16">AE25+AE36+AE46+AE56+AE66+AE76+AE86+AE96+AE106+AE116+AE126+AE136</f>
        <v>0</v>
      </c>
      <c r="AF14" s="144">
        <f t="shared" si="12"/>
        <v>0</v>
      </c>
      <c r="AG14" s="144">
        <f t="shared" si="12"/>
        <v>0</v>
      </c>
      <c r="AH14" s="145">
        <f>AH25+AH36+AH46+AH56+AH66+AH76+AH86+AH96+AH106+AH116+AH126+AH136</f>
        <v>0</v>
      </c>
      <c r="AI14" s="140"/>
      <c r="AJ14" s="146"/>
      <c r="AK14" s="146"/>
      <c r="AL14" s="146"/>
      <c r="AM14" s="146"/>
      <c r="AN14" s="146"/>
      <c r="AO14" s="138">
        <f>AO35+AO42+AO53+AO63</f>
        <v>39240702.12404596</v>
      </c>
      <c r="AS14" s="136" t="s">
        <v>338</v>
      </c>
      <c r="AT14" s="138">
        <f>AN78+AN88</f>
        <v>13068614.0508</v>
      </c>
    </row>
    <row r="15" spans="1:46" ht="41.25" customHeight="1">
      <c r="A15" s="148" t="s">
        <v>250</v>
      </c>
      <c r="B15" s="143" t="s">
        <v>87</v>
      </c>
      <c r="C15" s="144">
        <f t="shared" si="6"/>
        <v>0</v>
      </c>
      <c r="D15" s="144">
        <f t="shared" si="6"/>
        <v>0</v>
      </c>
      <c r="E15" s="144">
        <f t="shared" si="6"/>
        <v>0</v>
      </c>
      <c r="F15" s="145">
        <f>F27+F28+F37+F47+F57+F67+F77+F87+F97+F107+F117+F127+F137</f>
        <v>0</v>
      </c>
      <c r="G15" s="144">
        <f>G26+G37+G47+G57+G67+G77+G87+G97+G107+G117+G127+G137</f>
        <v>0</v>
      </c>
      <c r="H15" s="144">
        <f>H26+H37+H47+H57+H68+H77+H87+H97+H107+H117+H127+H137</f>
        <v>0</v>
      </c>
      <c r="I15" s="144">
        <f>I26+I37+I47+I57+I67+I77+I87+I97+I107+I117+I127+I137</f>
        <v>0</v>
      </c>
      <c r="J15" s="145">
        <f>J26+J37+J47+J57+J67+J77+J87+J97+J107+J117+J127+J137</f>
        <v>0</v>
      </c>
      <c r="K15" s="144">
        <f t="shared" si="7"/>
        <v>0</v>
      </c>
      <c r="L15" s="144">
        <f t="shared" si="7"/>
        <v>0</v>
      </c>
      <c r="M15" s="144">
        <f t="shared" si="7"/>
        <v>0</v>
      </c>
      <c r="N15" s="145">
        <f>N26+N37+N47+N57+N67+N77+N87+N97+N107+N117+N127+N137</f>
        <v>0</v>
      </c>
      <c r="O15" s="144">
        <f t="shared" si="8"/>
        <v>0</v>
      </c>
      <c r="P15" s="144">
        <f t="shared" si="8"/>
        <v>0</v>
      </c>
      <c r="Q15" s="144">
        <f t="shared" si="8"/>
        <v>0</v>
      </c>
      <c r="R15" s="145">
        <f>R26+R37+R47+R57+R67+R77+R87+R97+R107+R117+R127+R137</f>
        <v>0</v>
      </c>
      <c r="S15" s="144">
        <f t="shared" si="9"/>
        <v>0</v>
      </c>
      <c r="T15" s="144">
        <f t="shared" si="9"/>
        <v>0</v>
      </c>
      <c r="U15" s="144">
        <f t="shared" si="9"/>
        <v>0</v>
      </c>
      <c r="V15" s="145">
        <f>V26+V37+V47+V57+V67+V77+V87+V97+V107+V117+V127+V137</f>
        <v>0</v>
      </c>
      <c r="W15" s="144">
        <f>W26+W37+W47+W57+W67+W77+W87+W97+W107+W117+W127+W137</f>
        <v>0</v>
      </c>
      <c r="X15" s="144">
        <f t="shared" si="10"/>
        <v>0</v>
      </c>
      <c r="Y15" s="144">
        <f t="shared" si="10"/>
        <v>0</v>
      </c>
      <c r="Z15" s="145">
        <f>Z26+Z37+Z47+Z57+Z67+Z77+Z87+Z97+Z107+Z117+Z127+Z137</f>
        <v>0</v>
      </c>
      <c r="AA15" s="144">
        <f t="shared" si="11"/>
        <v>0</v>
      </c>
      <c r="AB15" s="144">
        <f t="shared" si="11"/>
        <v>0</v>
      </c>
      <c r="AC15" s="144">
        <f t="shared" si="11"/>
        <v>0</v>
      </c>
      <c r="AD15" s="145">
        <f>AD26+AD37+AD47+AD57+AD67+AD77+AD87+AD97+AD107+AD117+AD127+AD137</f>
        <v>0</v>
      </c>
      <c r="AE15" s="144">
        <f t="shared" si="12"/>
        <v>0</v>
      </c>
      <c r="AF15" s="144">
        <f t="shared" si="12"/>
        <v>0</v>
      </c>
      <c r="AG15" s="144">
        <f t="shared" si="12"/>
        <v>0</v>
      </c>
      <c r="AH15" s="145">
        <f>AH26+AH37+AH47+AH57+AH67+AH77+AH87+AH97+AH107+AH117+AH127+AH137</f>
        <v>0</v>
      </c>
      <c r="AI15" s="140"/>
      <c r="AJ15" s="146">
        <f aca="true" t="shared" si="13" ref="AJ15:AN16">AJ26+AJ37+AJ47+AJ57+AJ67+AJ77+AJ87+AJ97+AJ107+AJ117+AJ127+AJ137</f>
        <v>0</v>
      </c>
      <c r="AK15" s="146">
        <f t="shared" si="13"/>
        <v>0</v>
      </c>
      <c r="AL15" s="146">
        <f t="shared" si="13"/>
        <v>0</v>
      </c>
      <c r="AM15" s="146">
        <f t="shared" si="13"/>
        <v>0</v>
      </c>
      <c r="AN15" s="146">
        <f t="shared" si="13"/>
        <v>0</v>
      </c>
      <c r="AS15" s="136" t="s">
        <v>339</v>
      </c>
      <c r="AT15" s="138">
        <f>AN89</f>
        <v>11016143.562306285</v>
      </c>
    </row>
    <row r="16" spans="1:46" ht="41.25" customHeight="1">
      <c r="A16" s="148" t="s">
        <v>251</v>
      </c>
      <c r="B16" s="143" t="s">
        <v>88</v>
      </c>
      <c r="C16" s="144">
        <f>C27+C38+C48+C58+C68+C78+C88+C98+C108+C118+C128+C138</f>
        <v>0</v>
      </c>
      <c r="D16" s="144">
        <f>D27+D38+D48+D58+D68+D78+D88+D98+D108+D118+D128+D138</f>
        <v>0</v>
      </c>
      <c r="E16" s="144">
        <f>E27+E38+E48+E58+E68+E78+E88+E98+E108+E118+E128+E138</f>
        <v>0</v>
      </c>
      <c r="F16" s="145">
        <f>F28+F29+F38+F48+F58+F68+F78+F88+F98+F108+F118+F128+F138</f>
        <v>0</v>
      </c>
      <c r="G16" s="144">
        <f>G28+G38+G48+G58+G68+G78+G88+G98+G108+G118+G128+G138</f>
        <v>1.99</v>
      </c>
      <c r="H16" s="144">
        <f>H27+H38+H48+H58+H69+H78+H88+H98+H108+H118+H128+H138</f>
        <v>0.986</v>
      </c>
      <c r="I16" s="144">
        <f>I27+I38+I48+I58+I68+I78+I88+I98+I108+I118+I128+I138</f>
        <v>0</v>
      </c>
      <c r="J16" s="145">
        <f>J28+J27+J38+J48+J58+J68+J78+J88+J98+J108+J118+J128+J138</f>
        <v>2.976</v>
      </c>
      <c r="K16" s="144">
        <f t="shared" si="7"/>
        <v>0</v>
      </c>
      <c r="L16" s="144">
        <f t="shared" si="7"/>
        <v>0</v>
      </c>
      <c r="M16" s="144">
        <f t="shared" si="7"/>
        <v>0</v>
      </c>
      <c r="N16" s="145">
        <f>N28+N27+N38+N48+N58+N68+N78+N88+N98+N108+N118+N128+N138</f>
        <v>0</v>
      </c>
      <c r="O16" s="144">
        <f t="shared" si="8"/>
        <v>0</v>
      </c>
      <c r="P16" s="144">
        <f t="shared" si="8"/>
        <v>0</v>
      </c>
      <c r="Q16" s="144">
        <f t="shared" si="8"/>
        <v>0</v>
      </c>
      <c r="R16" s="145">
        <f>R28+R27+R38+R48+R58+R68+R78+R88+R98+R108+R118+R128+R138</f>
        <v>0</v>
      </c>
      <c r="S16" s="144">
        <f t="shared" si="9"/>
        <v>0</v>
      </c>
      <c r="T16" s="144">
        <f t="shared" si="9"/>
        <v>0</v>
      </c>
      <c r="U16" s="144">
        <f t="shared" si="9"/>
        <v>0</v>
      </c>
      <c r="V16" s="145">
        <f>V25+V38+V48+V58+V68+V78+V88+V98+V108+V118+V128+V138</f>
        <v>0</v>
      </c>
      <c r="W16" s="144">
        <f>W28+W38+W48+W58+W68+W78+W88+W98+W108+W118+W128+W138</f>
        <v>0</v>
      </c>
      <c r="X16" s="144">
        <f t="shared" si="10"/>
        <v>0</v>
      </c>
      <c r="Y16" s="144">
        <f t="shared" si="10"/>
        <v>0</v>
      </c>
      <c r="Z16" s="145">
        <f>Z28+Z27+Z38+Z48+Z58+Z68+Z78+Z88+Z98+Z108+Z118+Z128+Z138</f>
        <v>0</v>
      </c>
      <c r="AA16" s="144">
        <f t="shared" si="11"/>
        <v>0</v>
      </c>
      <c r="AB16" s="144">
        <f t="shared" si="11"/>
        <v>0</v>
      </c>
      <c r="AC16" s="144">
        <f t="shared" si="11"/>
        <v>0</v>
      </c>
      <c r="AD16" s="145">
        <f>AD28+AD27+AD38+AD48+AD58+AD68+AD78+AD88+AD98+AD108+AD118+AD128+AD138</f>
        <v>0</v>
      </c>
      <c r="AE16" s="144">
        <f t="shared" si="12"/>
        <v>0</v>
      </c>
      <c r="AF16" s="144">
        <f t="shared" si="12"/>
        <v>0</v>
      </c>
      <c r="AG16" s="144">
        <f t="shared" si="12"/>
        <v>0</v>
      </c>
      <c r="AH16" s="145">
        <f>AH28+AH27+AH38+AH48+AH58+AH68+AH78+AH88+AH98+AH108+AH118+AH128+AH138</f>
        <v>0</v>
      </c>
      <c r="AI16" s="140"/>
      <c r="AJ16" s="146">
        <f t="shared" si="13"/>
        <v>0</v>
      </c>
      <c r="AK16" s="146">
        <f t="shared" si="13"/>
        <v>13068614.0508</v>
      </c>
      <c r="AL16" s="146">
        <f t="shared" si="13"/>
        <v>0</v>
      </c>
      <c r="AM16" s="146">
        <f t="shared" si="13"/>
        <v>0</v>
      </c>
      <c r="AN16" s="146">
        <f>AN27+AN38+AN48+AN58+AN68+AN78+AN88+AN98+AN108+AN118+AN128+AN138+AN28</f>
        <v>13068614.0508</v>
      </c>
      <c r="AO16" s="138">
        <f>AN16-AN27-AN28</f>
        <v>13068614.0508</v>
      </c>
      <c r="AS16" s="136" t="s">
        <v>340</v>
      </c>
      <c r="AT16" s="138">
        <f>AO50+AO60+AN90+AN130</f>
        <v>143756255.82160076</v>
      </c>
    </row>
    <row r="17" spans="1:40" ht="36.75" customHeight="1">
      <c r="A17" s="139">
        <v>3</v>
      </c>
      <c r="B17" s="143" t="s">
        <v>252</v>
      </c>
      <c r="C17" s="144">
        <f>C29+C39+C49+C59+C69+C79+C89+C99+C109+C119+C129+C139</f>
        <v>0</v>
      </c>
      <c r="D17" s="144">
        <f>D29+D39+D49+D59+D69+D79+D89+D99+D109+D119+D129+D139</f>
        <v>0</v>
      </c>
      <c r="E17" s="144">
        <f>E29+E39+E49+E59+E69+E79+E89+E99+E109+E119+E129+E139</f>
        <v>0</v>
      </c>
      <c r="F17" s="145">
        <f>F29+F39+F49+F59+F69+F79+F89+F99+F109+F119+F129+F139</f>
        <v>0</v>
      </c>
      <c r="G17" s="149">
        <f>G29+G39+G49+G59+G69+G79+G89+G99+G109+G119+G129+G139</f>
        <v>0</v>
      </c>
      <c r="H17" s="149">
        <f>H29+H39+H49+H59+H69+H79+H89+H99+H109+H119+H129+H139</f>
        <v>0</v>
      </c>
      <c r="I17" s="149">
        <f aca="true" t="shared" si="14" ref="I17:Q19">I29+I39+I49+I59+I69+I79+I89+I99+I109+I119+I129+I139</f>
        <v>0</v>
      </c>
      <c r="J17" s="145">
        <f t="shared" si="14"/>
        <v>0</v>
      </c>
      <c r="K17" s="144">
        <f t="shared" si="14"/>
        <v>0</v>
      </c>
      <c r="L17" s="144">
        <f t="shared" si="14"/>
        <v>1</v>
      </c>
      <c r="M17" s="144">
        <f t="shared" si="14"/>
        <v>0</v>
      </c>
      <c r="N17" s="145">
        <f t="shared" si="14"/>
        <v>1</v>
      </c>
      <c r="O17" s="144">
        <f t="shared" si="14"/>
        <v>0</v>
      </c>
      <c r="P17" s="144">
        <f t="shared" si="14"/>
        <v>0</v>
      </c>
      <c r="Q17" s="144">
        <f t="shared" si="14"/>
        <v>3</v>
      </c>
      <c r="R17" s="145">
        <f>R29+R39+R49+R59+R69+R79+R89+R99+R109+R119+R129+R139</f>
        <v>3</v>
      </c>
      <c r="S17" s="144">
        <f>S29+S39+S49+S59+S69+S79+S89+S99+S109+S119+S129+S139</f>
        <v>0</v>
      </c>
      <c r="T17" s="144">
        <f>T29+T39+T49+T59+T69+T79+T89+T99+T109+T119+T129+T139</f>
        <v>0</v>
      </c>
      <c r="U17" s="144">
        <f>U29+U39+U49+U59+U69+U79+U89+U99+U109+U119+U129+U139</f>
        <v>0</v>
      </c>
      <c r="V17" s="145">
        <f>V29+V39+V49+V59+V69+V79+V89+V99+V109+V119+V129+V139</f>
        <v>0</v>
      </c>
      <c r="W17" s="144">
        <f aca="true" t="shared" si="15" ref="W17:Y19">W29+W39+W49+W59+W69+W79+W89+W99+W109+W119+W129+W139</f>
        <v>0</v>
      </c>
      <c r="X17" s="144">
        <f t="shared" si="15"/>
        <v>0</v>
      </c>
      <c r="Y17" s="144">
        <f t="shared" si="15"/>
        <v>0</v>
      </c>
      <c r="Z17" s="145">
        <f>Z29+Z39+Z49+Z59+Z69+Z79+Z89+Z99+Z109+Z119+Z129+Z139</f>
        <v>0</v>
      </c>
      <c r="AA17" s="144">
        <f>AA29+AA39+AA49+AA59+AA69+AA79+AA89+AA99+AA109+AA119+AA129+AA139</f>
        <v>0</v>
      </c>
      <c r="AB17" s="144">
        <f>AB29+AB39+AB49+AB59+AB69+AB79+AB89+AB99+AB109+AB119+AB129+AB139</f>
        <v>0</v>
      </c>
      <c r="AC17" s="144">
        <f>AC29+AC39+AC49+AC59+AC69+AC79+AC89+AC99+AC109+AC119+AC129+AC139</f>
        <v>450</v>
      </c>
      <c r="AD17" s="145">
        <f>AD29+AD39+AD49+AD59+AD69+AD79+AD89+AD99+AD109+AD119+AD129+AD139</f>
        <v>450</v>
      </c>
      <c r="AE17" s="144">
        <f aca="true" t="shared" si="16" ref="AE17:AG19">AE29+AE39+AE49+AE59+AE69+AE79+AE89+AE99+AE109+AE119+AE129+AE139</f>
        <v>0</v>
      </c>
      <c r="AF17" s="144">
        <f t="shared" si="16"/>
        <v>0</v>
      </c>
      <c r="AG17" s="144">
        <f t="shared" si="16"/>
        <v>1030</v>
      </c>
      <c r="AH17" s="145">
        <f>AH29+AH39+AH49+AH59+AH69+AH79+AH89+AH99+AH109+AH119+AH129+AH139</f>
        <v>1030</v>
      </c>
      <c r="AI17" s="140"/>
      <c r="AJ17" s="146">
        <f aca="true" t="shared" si="17" ref="AJ17:AN19">AJ29+AJ39+AJ49+AJ59+AJ69+AJ79+AJ89+AJ99+AJ109+AJ119+AJ129+AJ139</f>
        <v>0</v>
      </c>
      <c r="AK17" s="146">
        <f t="shared" si="17"/>
        <v>0</v>
      </c>
      <c r="AL17" s="146">
        <f t="shared" si="17"/>
        <v>3349503.1101606945</v>
      </c>
      <c r="AM17" s="146">
        <f t="shared" si="17"/>
        <v>7666640.4521455895</v>
      </c>
      <c r="AN17" s="146">
        <f t="shared" si="17"/>
        <v>11016143.562306285</v>
      </c>
    </row>
    <row r="18" spans="1:41" ht="119.25" customHeight="1">
      <c r="A18" s="139">
        <v>4</v>
      </c>
      <c r="B18" s="143" t="s">
        <v>253</v>
      </c>
      <c r="C18" s="150" t="s">
        <v>43</v>
      </c>
      <c r="D18" s="150" t="s">
        <v>43</v>
      </c>
      <c r="E18" s="150" t="s">
        <v>43</v>
      </c>
      <c r="F18" s="150" t="s">
        <v>43</v>
      </c>
      <c r="G18" s="144">
        <f>G30+G40+G50+G60+G70+G80+G90+G100+G110+G120+G130+G140</f>
        <v>52</v>
      </c>
      <c r="H18" s="144">
        <f>H30+H40+H50+H60+H70+H80+H90+H100+H110+H120+H130+H140</f>
        <v>54</v>
      </c>
      <c r="I18" s="144">
        <f>I30+I40+I50+I60+I70+I80+I90+I100+I110+I120+I130+I140</f>
        <v>4</v>
      </c>
      <c r="J18" s="145">
        <f>J30+J40+J50+J60+J70+J80+J90+J100+J110+J120+J130+J140</f>
        <v>46</v>
      </c>
      <c r="K18" s="150" t="s">
        <v>43</v>
      </c>
      <c r="L18" s="150" t="s">
        <v>43</v>
      </c>
      <c r="M18" s="150" t="s">
        <v>43</v>
      </c>
      <c r="N18" s="150" t="s">
        <v>43</v>
      </c>
      <c r="O18" s="144">
        <f t="shared" si="14"/>
        <v>1</v>
      </c>
      <c r="P18" s="144">
        <f>P30+P40+P50+P60+P70+P80+P90+P100+P110+P120+P130+P140</f>
        <v>8</v>
      </c>
      <c r="Q18" s="144">
        <f t="shared" si="14"/>
        <v>15</v>
      </c>
      <c r="R18" s="145">
        <f>R28+R40+R50+R60+R70+R80+R90+R100+R110+R120+R130+R140</f>
        <v>7.5</v>
      </c>
      <c r="S18" s="150" t="s">
        <v>43</v>
      </c>
      <c r="T18" s="150" t="s">
        <v>43</v>
      </c>
      <c r="U18" s="150" t="s">
        <v>43</v>
      </c>
      <c r="V18" s="150" t="s">
        <v>43</v>
      </c>
      <c r="W18" s="144">
        <f t="shared" si="15"/>
        <v>12201.9</v>
      </c>
      <c r="X18" s="144">
        <f>X30+X40+X50+X60+X70+X80+X90+X100+X110+X120+X130+X140</f>
        <v>10800</v>
      </c>
      <c r="Y18" s="144">
        <f t="shared" si="15"/>
        <v>1980</v>
      </c>
      <c r="Z18" s="145">
        <f>Z30+Z40+Z50+Z60+Z70+Z80+Z90+Z100+Z110+Z120+Z130+Z140</f>
        <v>15714.3</v>
      </c>
      <c r="AA18" s="150" t="s">
        <v>43</v>
      </c>
      <c r="AB18" s="150" t="s">
        <v>43</v>
      </c>
      <c r="AC18" s="150" t="s">
        <v>43</v>
      </c>
      <c r="AD18" s="150" t="s">
        <v>43</v>
      </c>
      <c r="AE18" s="144">
        <f t="shared" si="16"/>
        <v>729</v>
      </c>
      <c r="AF18" s="144">
        <f>AF30+AF40+AF50+AF60+AF70+AF80+AF90+AF100+AF110+AF120+AF130+AF140</f>
        <v>0</v>
      </c>
      <c r="AG18" s="144">
        <f t="shared" si="16"/>
        <v>0</v>
      </c>
      <c r="AH18" s="145">
        <f>AH30+AH40+AH50+AH60+AH70+AH80+AH90+AH100+AH110+AH120+AH130+AH140</f>
        <v>729</v>
      </c>
      <c r="AI18" s="140"/>
      <c r="AJ18" s="146">
        <f t="shared" si="17"/>
        <v>0</v>
      </c>
      <c r="AK18" s="146">
        <f t="shared" si="17"/>
        <v>548923636.7903997</v>
      </c>
      <c r="AL18" s="146">
        <f t="shared" si="17"/>
        <v>0</v>
      </c>
      <c r="AM18" s="146">
        <f t="shared" si="17"/>
        <v>64921653.518928535</v>
      </c>
      <c r="AN18" s="146">
        <f t="shared" si="17"/>
        <v>613845290.3093283</v>
      </c>
      <c r="AO18" s="138">
        <f>AN18-AN30</f>
        <v>201178681.1515628</v>
      </c>
    </row>
    <row r="19" spans="1:43" ht="60" customHeight="1">
      <c r="A19" s="139">
        <v>5</v>
      </c>
      <c r="B19" s="143" t="s">
        <v>254</v>
      </c>
      <c r="C19" s="150" t="s">
        <v>43</v>
      </c>
      <c r="D19" s="150" t="s">
        <v>43</v>
      </c>
      <c r="E19" s="150" t="s">
        <v>43</v>
      </c>
      <c r="F19" s="150" t="s">
        <v>43</v>
      </c>
      <c r="G19" s="144">
        <f>G31+G41+G51+G61+G71+G81+G91+G101+G111+G121+G131+G141</f>
        <v>0</v>
      </c>
      <c r="H19" s="144">
        <f>H31+H41+H51+H61+H71+H81+H91+H101+H111+H121+H131+H141</f>
        <v>0</v>
      </c>
      <c r="I19" s="144">
        <f>I31+I41+I51+I61+I71+I81+I91+I101+I111+I121+I131+I141</f>
        <v>0</v>
      </c>
      <c r="J19" s="145">
        <f>J29+J41+J51+J61+J71+J81+J91+J101+J111+J121+J131+J141</f>
        <v>0</v>
      </c>
      <c r="K19" s="150" t="s">
        <v>43</v>
      </c>
      <c r="L19" s="150" t="s">
        <v>43</v>
      </c>
      <c r="M19" s="150" t="s">
        <v>43</v>
      </c>
      <c r="N19" s="150" t="s">
        <v>43</v>
      </c>
      <c r="O19" s="144">
        <f t="shared" si="14"/>
        <v>0</v>
      </c>
      <c r="P19" s="144">
        <f t="shared" si="14"/>
        <v>0</v>
      </c>
      <c r="Q19" s="144">
        <f t="shared" si="14"/>
        <v>0</v>
      </c>
      <c r="R19" s="145">
        <f>R29+R41+R51+R61+R71+R81+R91+R101+R111+R121+R131+R141</f>
        <v>0</v>
      </c>
      <c r="S19" s="150" t="s">
        <v>43</v>
      </c>
      <c r="T19" s="150" t="s">
        <v>43</v>
      </c>
      <c r="U19" s="150" t="s">
        <v>43</v>
      </c>
      <c r="V19" s="150" t="s">
        <v>43</v>
      </c>
      <c r="W19" s="144">
        <f t="shared" si="15"/>
        <v>0</v>
      </c>
      <c r="X19" s="144">
        <f t="shared" si="15"/>
        <v>0</v>
      </c>
      <c r="Y19" s="144">
        <f t="shared" si="15"/>
        <v>0</v>
      </c>
      <c r="Z19" s="145">
        <f>Z29+Z41+Z51+Z61+Z71+Z81+Z91+Z101+Z111+Z121+Z131+Z141</f>
        <v>0</v>
      </c>
      <c r="AA19" s="150" t="s">
        <v>43</v>
      </c>
      <c r="AB19" s="150" t="s">
        <v>43</v>
      </c>
      <c r="AC19" s="150" t="s">
        <v>43</v>
      </c>
      <c r="AD19" s="150" t="s">
        <v>43</v>
      </c>
      <c r="AE19" s="144">
        <f t="shared" si="16"/>
        <v>0</v>
      </c>
      <c r="AF19" s="144">
        <f t="shared" si="16"/>
        <v>0</v>
      </c>
      <c r="AG19" s="144">
        <f t="shared" si="16"/>
        <v>0</v>
      </c>
      <c r="AH19" s="145">
        <f>AH29+AH41+AH51+AH61+AH71+AH81+AH91+AH101+AH111+AH121+AH131+AH141</f>
        <v>0</v>
      </c>
      <c r="AI19" s="140"/>
      <c r="AJ19" s="146">
        <f t="shared" si="17"/>
        <v>0</v>
      </c>
      <c r="AK19" s="146">
        <f t="shared" si="17"/>
        <v>0</v>
      </c>
      <c r="AL19" s="146">
        <f t="shared" si="17"/>
        <v>0</v>
      </c>
      <c r="AM19" s="146">
        <f t="shared" si="17"/>
        <v>0</v>
      </c>
      <c r="AN19" s="146">
        <f t="shared" si="17"/>
        <v>0</v>
      </c>
      <c r="AO19" s="136">
        <f>AN20/'[1]Приложение 4 (производство)'!B337</f>
        <v>141551.7753477351</v>
      </c>
      <c r="AQ19" s="136">
        <f>AN20/'[1]Приложение 4 (производство)'!C337</f>
        <v>16719.900172532856</v>
      </c>
    </row>
    <row r="20" spans="1:41" ht="25.5" customHeight="1">
      <c r="A20" s="475" t="s">
        <v>255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140"/>
      <c r="AJ20" s="142">
        <f>AJ22+AJ23+AJ26+AJ27+AJ29+AJ30+AJ31+AJ28+AJ24</f>
        <v>9334929.0606</v>
      </c>
      <c r="AK20" s="142">
        <f>AK22+AK23+AK26+AK27+AK29+AK30+AK31+AK28+AK24</f>
        <v>443394326.5638655</v>
      </c>
      <c r="AL20" s="142">
        <f>AL22+AL23+AL26+AL27+AL29+AL30+AL31+AL28+AL24</f>
        <v>107802877.82549998</v>
      </c>
      <c r="AM20" s="142">
        <f>AM22+AM23+AM26+AM27+AM29+AM30+AM31+AM28+AM24</f>
        <v>7232037.469800001</v>
      </c>
      <c r="AN20" s="142">
        <f>AN22+AN23+AN26+AN27+AN29+AN30+AN31+AN28+AN24</f>
        <v>567764170.9197655</v>
      </c>
      <c r="AO20" s="151">
        <f>AN20+'[1]Таблица 7 .1'!Q19</f>
        <v>665021340.7861054</v>
      </c>
    </row>
    <row r="21" spans="1:40" ht="29.25" customHeight="1">
      <c r="A21" s="152">
        <v>1</v>
      </c>
      <c r="B21" s="153" t="s">
        <v>245</v>
      </c>
      <c r="C21" s="153">
        <f aca="true" t="shared" si="18" ref="C21:I21">C22+C23</f>
        <v>15.499</v>
      </c>
      <c r="D21" s="153">
        <f t="shared" si="18"/>
        <v>0.535</v>
      </c>
      <c r="E21" s="153">
        <f t="shared" si="18"/>
        <v>0</v>
      </c>
      <c r="F21" s="153">
        <f t="shared" si="18"/>
        <v>5.344666666666666</v>
      </c>
      <c r="G21" s="153">
        <f t="shared" si="18"/>
        <v>25.196</v>
      </c>
      <c r="H21" s="153">
        <f t="shared" si="18"/>
        <v>23.486</v>
      </c>
      <c r="I21" s="153">
        <f t="shared" si="18"/>
        <v>4.097</v>
      </c>
      <c r="J21" s="153">
        <f>J22+J23+J24</f>
        <v>17.593</v>
      </c>
      <c r="K21" s="153">
        <f>K22+K23</f>
        <v>23.727</v>
      </c>
      <c r="L21" s="153">
        <f>L22+L23+L24</f>
        <v>62.939</v>
      </c>
      <c r="M21" s="153">
        <f>M22+M23</f>
        <v>38.335</v>
      </c>
      <c r="N21" s="153">
        <f>N22+N23+N24</f>
        <v>57.85966666666666</v>
      </c>
      <c r="O21" s="153">
        <f>O22+O23</f>
        <v>0</v>
      </c>
      <c r="P21" s="153">
        <f>P22+P23</f>
        <v>0.808</v>
      </c>
      <c r="Q21" s="153">
        <f>Q22+Q23</f>
        <v>11.614</v>
      </c>
      <c r="R21" s="153">
        <f>R22+R23+R24</f>
        <v>4.140666666666667</v>
      </c>
      <c r="S21" s="153">
        <f>S22+S23</f>
        <v>2331</v>
      </c>
      <c r="T21" s="153"/>
      <c r="U21" s="153"/>
      <c r="V21" s="153">
        <f>V22+V23+V24</f>
        <v>2331</v>
      </c>
      <c r="W21" s="153">
        <f>W22+W23</f>
        <v>1600.5</v>
      </c>
      <c r="X21" s="153">
        <f>X22+X23</f>
        <v>4847.83</v>
      </c>
      <c r="Y21" s="153">
        <f>Y22+Y23</f>
        <v>768.96</v>
      </c>
      <c r="Z21" s="153">
        <f>Z22+Z23+Z24</f>
        <v>2405.7633333333333</v>
      </c>
      <c r="AA21" s="153">
        <f>AA22+AA23</f>
        <v>2771.88</v>
      </c>
      <c r="AB21" s="153"/>
      <c r="AC21" s="153"/>
      <c r="AD21" s="153">
        <f>AD22+AD23+AD24</f>
        <v>2771.88</v>
      </c>
      <c r="AE21" s="153">
        <f>AE22+AE23</f>
        <v>0</v>
      </c>
      <c r="AF21" s="153">
        <f>AF22+AF23</f>
        <v>207.84000000000003</v>
      </c>
      <c r="AG21" s="153">
        <f>AG22+AG23</f>
        <v>2665.73</v>
      </c>
      <c r="AH21" s="153">
        <f>AH22+AH23+AH24</f>
        <v>1436.785</v>
      </c>
      <c r="AI21" s="140"/>
      <c r="AJ21" s="140"/>
      <c r="AK21" s="140"/>
      <c r="AL21" s="140"/>
      <c r="AM21" s="140"/>
      <c r="AN21" s="140"/>
    </row>
    <row r="22" spans="1:40" ht="29.25" customHeight="1">
      <c r="A22" s="154" t="s">
        <v>247</v>
      </c>
      <c r="B22" s="153" t="s">
        <v>85</v>
      </c>
      <c r="C22" s="153"/>
      <c r="D22" s="153"/>
      <c r="E22" s="153"/>
      <c r="F22" s="153">
        <f>SUM(C22:E22)/3</f>
        <v>0</v>
      </c>
      <c r="G22" s="153"/>
      <c r="H22" s="153"/>
      <c r="I22" s="153"/>
      <c r="J22" s="153">
        <f>SUM(G22:I22)/3</f>
        <v>0</v>
      </c>
      <c r="K22" s="153"/>
      <c r="L22" s="153"/>
      <c r="M22" s="153"/>
      <c r="N22" s="153">
        <f>SUM(K22:M22)/3</f>
        <v>0</v>
      </c>
      <c r="O22" s="153"/>
      <c r="P22" s="153"/>
      <c r="Q22" s="153"/>
      <c r="R22" s="153">
        <f aca="true" t="shared" si="19" ref="R22:R31">SUM(O22:Q22)/3</f>
        <v>0</v>
      </c>
      <c r="S22" s="153"/>
      <c r="T22" s="153"/>
      <c r="U22" s="153"/>
      <c r="V22" s="153">
        <f>SUM(S22:U22)/3</f>
        <v>0</v>
      </c>
      <c r="W22" s="153"/>
      <c r="X22" s="153"/>
      <c r="Y22" s="153"/>
      <c r="Z22" s="153">
        <f>SUM(W22:Y22)/3</f>
        <v>0</v>
      </c>
      <c r="AA22" s="153"/>
      <c r="AB22" s="153"/>
      <c r="AC22" s="153"/>
      <c r="AD22" s="153">
        <f>SUM(AA22:AC22)/3</f>
        <v>0</v>
      </c>
      <c r="AE22" s="153"/>
      <c r="AF22" s="153"/>
      <c r="AG22" s="153"/>
      <c r="AH22" s="153">
        <f aca="true" t="shared" si="20" ref="AH22:AH29">SUM(AE22:AG22)/3</f>
        <v>0</v>
      </c>
      <c r="AI22" s="146">
        <f>'[1]Приложение 9 СТС'!X35*'[1]Прил. 10.1. Выпадающие до 15'!$N$18</f>
        <v>0</v>
      </c>
      <c r="AJ22" s="146">
        <f>AI22*F22</f>
        <v>0</v>
      </c>
      <c r="AK22" s="146">
        <f>AI22*J22</f>
        <v>0</v>
      </c>
      <c r="AL22" s="146">
        <f>AI22*N22</f>
        <v>0</v>
      </c>
      <c r="AM22" s="146">
        <f>AI22*R22</f>
        <v>0</v>
      </c>
      <c r="AN22" s="146">
        <f>AJ22+AK22+AL22+AM22</f>
        <v>0</v>
      </c>
    </row>
    <row r="23" spans="1:41" ht="29.25" customHeight="1">
      <c r="A23" s="154" t="s">
        <v>248</v>
      </c>
      <c r="B23" s="153" t="s">
        <v>256</v>
      </c>
      <c r="C23" s="153">
        <v>15.499</v>
      </c>
      <c r="D23" s="153">
        <v>0.535</v>
      </c>
      <c r="E23" s="153"/>
      <c r="F23" s="153">
        <f>SUM(C23:E23)/3</f>
        <v>5.344666666666666</v>
      </c>
      <c r="G23" s="153">
        <v>25.196</v>
      </c>
      <c r="H23" s="153">
        <v>23.486</v>
      </c>
      <c r="I23" s="153">
        <v>4.097</v>
      </c>
      <c r="J23" s="153">
        <f>SUM(G23:I23)/COUNTIF(G23:I23,"&gt;0")</f>
        <v>17.593</v>
      </c>
      <c r="K23" s="153">
        <v>23.727</v>
      </c>
      <c r="L23" s="153">
        <f>62.939-L24</f>
        <v>38.65</v>
      </c>
      <c r="M23" s="153">
        <v>38.335</v>
      </c>
      <c r="N23" s="153">
        <f>SUM(K23:M23)/COUNTIF(K23:M23,"&gt;0")</f>
        <v>33.57066666666666</v>
      </c>
      <c r="O23" s="153"/>
      <c r="P23" s="153">
        <v>0.808</v>
      </c>
      <c r="Q23" s="153">
        <v>11.614</v>
      </c>
      <c r="R23" s="153">
        <f>SUM(O23:Q23)/3</f>
        <v>4.140666666666667</v>
      </c>
      <c r="S23" s="153">
        <v>2331</v>
      </c>
      <c r="T23" s="153"/>
      <c r="U23" s="153"/>
      <c r="V23" s="153">
        <f>SUM(S23:U23)/COUNTIF(S23:U23,"&gt;0")</f>
        <v>2331</v>
      </c>
      <c r="W23" s="153">
        <v>1600.5</v>
      </c>
      <c r="X23" s="153">
        <v>4847.83</v>
      </c>
      <c r="Y23" s="153">
        <v>768.96</v>
      </c>
      <c r="Z23" s="153">
        <f>SUM(W23:Y23)/COUNTIF(W23:Y23,"&gt;0")</f>
        <v>2405.7633333333333</v>
      </c>
      <c r="AA23" s="153">
        <v>2771.88</v>
      </c>
      <c r="AB23" s="153"/>
      <c r="AC23" s="153"/>
      <c r="AD23" s="153">
        <f>SUM(AA23:AC23)/COUNTIF(AA23:AC23,"&gt;0")</f>
        <v>2771.88</v>
      </c>
      <c r="AE23" s="153"/>
      <c r="AF23" s="153">
        <f>287.47-AF24</f>
        <v>207.84000000000003</v>
      </c>
      <c r="AG23" s="153">
        <v>2665.73</v>
      </c>
      <c r="AH23" s="153">
        <f>SUM(AE23:AG23)/COUNTIF(AE23:AG23,"&gt;0")</f>
        <v>1436.785</v>
      </c>
      <c r="AI23" s="146">
        <f>'[1]Приложение 9 СТС'!R36*'[1]Прил. 10.1. Выпадающие до 15'!N19</f>
        <v>1746587.7</v>
      </c>
      <c r="AJ23" s="146">
        <f>AI23*F23</f>
        <v>9334929.0606</v>
      </c>
      <c r="AK23" s="146">
        <f>AI23*J23</f>
        <v>30727717.406099997</v>
      </c>
      <c r="AL23" s="146">
        <f>AI23*N23</f>
        <v>58634113.48079999</v>
      </c>
      <c r="AM23" s="146">
        <f>AI23*R23</f>
        <v>7232037.469800001</v>
      </c>
      <c r="AN23" s="146">
        <f>AJ23+AK23+AL23+AM23</f>
        <v>105928797.41729999</v>
      </c>
      <c r="AO23" s="136">
        <f>AN23/(V23+Z23+AD23)</f>
        <v>14107.581451771357</v>
      </c>
    </row>
    <row r="24" spans="1:40" ht="29.25" customHeight="1">
      <c r="A24" s="154" t="s">
        <v>25</v>
      </c>
      <c r="B24" s="153" t="s">
        <v>257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>
        <v>24.289</v>
      </c>
      <c r="M24" s="153"/>
      <c r="N24" s="153">
        <f>SUM(K24:M24)/COUNTIF(K24:M24,"&gt;0")</f>
        <v>24.289</v>
      </c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>
        <v>79.63</v>
      </c>
      <c r="AG24" s="153"/>
      <c r="AH24" s="153"/>
      <c r="AI24" s="146">
        <f>'[1]Приложение 9 СТС'!R39*'[1]Прил. 10.1. Выпадающие до 15'!N19</f>
        <v>2024322.3</v>
      </c>
      <c r="AJ24" s="146">
        <f>AI24*F24</f>
        <v>0</v>
      </c>
      <c r="AK24" s="146">
        <f>AI24*J24</f>
        <v>0</v>
      </c>
      <c r="AL24" s="146">
        <f>AI24*N24</f>
        <v>49168764.3447</v>
      </c>
      <c r="AM24" s="146">
        <f>AI24*R24</f>
        <v>0</v>
      </c>
      <c r="AN24" s="146">
        <f>AJ24+AK24+AL24+AM24</f>
        <v>49168764.3447</v>
      </c>
    </row>
    <row r="25" spans="1:45" ht="29.25" customHeight="1">
      <c r="A25" s="152">
        <v>2</v>
      </c>
      <c r="B25" s="153" t="s">
        <v>249</v>
      </c>
      <c r="C25" s="153">
        <f>C26+C27</f>
        <v>0</v>
      </c>
      <c r="D25" s="153"/>
      <c r="E25" s="153"/>
      <c r="F25" s="153"/>
      <c r="G25" s="153">
        <f>G26+G27</f>
        <v>0</v>
      </c>
      <c r="H25" s="153"/>
      <c r="I25" s="153"/>
      <c r="J25" s="153"/>
      <c r="K25" s="153">
        <f>K26+K27</f>
        <v>0</v>
      </c>
      <c r="L25" s="153"/>
      <c r="M25" s="153"/>
      <c r="N25" s="153"/>
      <c r="O25" s="153">
        <f>O26+O27</f>
        <v>0</v>
      </c>
      <c r="P25" s="153">
        <f>P26+P27</f>
        <v>0</v>
      </c>
      <c r="Q25" s="153"/>
      <c r="R25" s="153">
        <f t="shared" si="19"/>
        <v>0</v>
      </c>
      <c r="S25" s="153">
        <f>S26+S27</f>
        <v>0</v>
      </c>
      <c r="T25" s="153"/>
      <c r="U25" s="153"/>
      <c r="V25" s="153"/>
      <c r="W25" s="153">
        <f>W26+W27</f>
        <v>0</v>
      </c>
      <c r="X25" s="153"/>
      <c r="Y25" s="153"/>
      <c r="Z25" s="153"/>
      <c r="AA25" s="153">
        <f>AA26+AA27</f>
        <v>0</v>
      </c>
      <c r="AB25" s="153"/>
      <c r="AC25" s="153"/>
      <c r="AD25" s="153"/>
      <c r="AE25" s="153">
        <f>AE26+AE27</f>
        <v>0</v>
      </c>
      <c r="AF25" s="153">
        <f>AF26+AF27</f>
        <v>0</v>
      </c>
      <c r="AG25" s="153"/>
      <c r="AH25" s="153">
        <f t="shared" si="20"/>
        <v>0</v>
      </c>
      <c r="AI25" s="146"/>
      <c r="AJ25" s="146"/>
      <c r="AK25" s="146"/>
      <c r="AL25" s="146"/>
      <c r="AM25" s="146"/>
      <c r="AN25" s="146"/>
      <c r="AS25" s="155"/>
    </row>
    <row r="26" spans="1:40" ht="29.25" customHeight="1">
      <c r="A26" s="154" t="s">
        <v>250</v>
      </c>
      <c r="B26" s="153" t="s">
        <v>87</v>
      </c>
      <c r="C26" s="153"/>
      <c r="D26" s="153"/>
      <c r="E26" s="153"/>
      <c r="F26" s="153">
        <f>SUM(C26:E26)/3</f>
        <v>0</v>
      </c>
      <c r="G26" s="153"/>
      <c r="H26" s="153"/>
      <c r="I26" s="153"/>
      <c r="J26" s="153">
        <f>SUM(G26:I26)/3</f>
        <v>0</v>
      </c>
      <c r="K26" s="153"/>
      <c r="L26" s="153"/>
      <c r="M26" s="153"/>
      <c r="N26" s="153">
        <f>SUM(K26:M26)/3</f>
        <v>0</v>
      </c>
      <c r="O26" s="153"/>
      <c r="P26" s="153"/>
      <c r="Q26" s="153"/>
      <c r="R26" s="153">
        <f t="shared" si="19"/>
        <v>0</v>
      </c>
      <c r="S26" s="153"/>
      <c r="T26" s="153"/>
      <c r="U26" s="153"/>
      <c r="V26" s="153">
        <f>SUM(S26:U26)/3</f>
        <v>0</v>
      </c>
      <c r="W26" s="153"/>
      <c r="X26" s="153"/>
      <c r="Y26" s="153"/>
      <c r="Z26" s="153">
        <f>SUM(W26:Y26)/3</f>
        <v>0</v>
      </c>
      <c r="AA26" s="153"/>
      <c r="AB26" s="153"/>
      <c r="AC26" s="153"/>
      <c r="AD26" s="153">
        <f>SUM(AA26:AC26)/3</f>
        <v>0</v>
      </c>
      <c r="AE26" s="153"/>
      <c r="AF26" s="153"/>
      <c r="AG26" s="153"/>
      <c r="AH26" s="153">
        <f t="shared" si="20"/>
        <v>0</v>
      </c>
      <c r="AI26" s="146">
        <f>'[1]Приложение 9 СТС'!R51*'[1]Прил. 10.1. Выпадающие до 15'!N25</f>
        <v>2774255.4</v>
      </c>
      <c r="AJ26" s="146">
        <f>AI26*F26</f>
        <v>0</v>
      </c>
      <c r="AK26" s="146">
        <f>AI26*J26</f>
        <v>0</v>
      </c>
      <c r="AL26" s="146">
        <f>AI26*N26</f>
        <v>0</v>
      </c>
      <c r="AM26" s="146">
        <f>AI26*R26</f>
        <v>0</v>
      </c>
      <c r="AN26" s="146">
        <f>AJ26+AK26+AL26+AM26</f>
        <v>0</v>
      </c>
    </row>
    <row r="27" spans="1:41" ht="29.25" customHeight="1">
      <c r="A27" s="154" t="s">
        <v>251</v>
      </c>
      <c r="B27" s="153" t="s">
        <v>258</v>
      </c>
      <c r="C27" s="153">
        <v>0</v>
      </c>
      <c r="D27" s="153"/>
      <c r="E27" s="153"/>
      <c r="F27" s="153"/>
      <c r="G27" s="153">
        <v>0</v>
      </c>
      <c r="H27" s="153"/>
      <c r="I27" s="153"/>
      <c r="J27" s="153">
        <f>SUM(G27:I27)/1</f>
        <v>0</v>
      </c>
      <c r="K27" s="153"/>
      <c r="L27" s="153"/>
      <c r="M27" s="153"/>
      <c r="N27" s="153"/>
      <c r="O27" s="153"/>
      <c r="P27" s="153"/>
      <c r="Q27" s="153"/>
      <c r="R27" s="153">
        <f t="shared" si="19"/>
        <v>0</v>
      </c>
      <c r="S27" s="153">
        <v>0</v>
      </c>
      <c r="T27" s="153"/>
      <c r="U27" s="153"/>
      <c r="V27" s="153"/>
      <c r="W27" s="153">
        <v>0</v>
      </c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>
        <f t="shared" si="20"/>
        <v>0</v>
      </c>
      <c r="AI27" s="146">
        <f>'[1]Приложение 9 СТС'!R53*'[1]Прил. 10.1. Выпадающие до 15'!N26</f>
        <v>2997325.0999999996</v>
      </c>
      <c r="AJ27" s="146">
        <f>AI27*F27</f>
        <v>0</v>
      </c>
      <c r="AK27" s="146">
        <f>AI27*J27</f>
        <v>0</v>
      </c>
      <c r="AL27" s="146">
        <f>AI27*N27</f>
        <v>0</v>
      </c>
      <c r="AM27" s="146">
        <f>AI27*R27</f>
        <v>0</v>
      </c>
      <c r="AN27" s="146">
        <f>AJ27+AK27+AL27+AM27</f>
        <v>0</v>
      </c>
      <c r="AO27" s="136" t="e">
        <f>AN27/(V27+Z28+AD27)</f>
        <v>#DIV/0!</v>
      </c>
    </row>
    <row r="28" spans="1:40" ht="29.25" customHeight="1">
      <c r="A28" s="154" t="s">
        <v>259</v>
      </c>
      <c r="B28" s="153" t="s">
        <v>260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46">
        <f>'[1]Приложение 9 СТС'!S53*'[1]Прил. 10.1. Выпадающие до 15'!N29</f>
        <v>4177573.4</v>
      </c>
      <c r="AJ28" s="146">
        <f>AI28*F28</f>
        <v>0</v>
      </c>
      <c r="AK28" s="146">
        <f>AI28*J28</f>
        <v>0</v>
      </c>
      <c r="AL28" s="146">
        <f>AI28*N28</f>
        <v>0</v>
      </c>
      <c r="AM28" s="146">
        <f>AI28*R28</f>
        <v>0</v>
      </c>
      <c r="AN28" s="146">
        <f>AJ28+AK28+AL28+AM28</f>
        <v>0</v>
      </c>
    </row>
    <row r="29" spans="1:40" ht="25.5">
      <c r="A29" s="152">
        <v>3</v>
      </c>
      <c r="B29" s="153" t="s">
        <v>261</v>
      </c>
      <c r="C29" s="153"/>
      <c r="D29" s="153"/>
      <c r="E29" s="153"/>
      <c r="F29" s="153">
        <f>SUM(C29:E29)/3</f>
        <v>0</v>
      </c>
      <c r="G29" s="153"/>
      <c r="H29" s="153"/>
      <c r="I29" s="153"/>
      <c r="J29" s="153">
        <f>SUM(G29:I29)/3</f>
        <v>0</v>
      </c>
      <c r="K29" s="153"/>
      <c r="L29" s="153"/>
      <c r="M29" s="153"/>
      <c r="N29" s="153">
        <f>SUM(K29:M29)/3</f>
        <v>0</v>
      </c>
      <c r="O29" s="153"/>
      <c r="P29" s="153"/>
      <c r="Q29" s="153"/>
      <c r="R29" s="153"/>
      <c r="S29" s="153"/>
      <c r="T29" s="153"/>
      <c r="U29" s="153"/>
      <c r="V29" s="153">
        <f>SUM(S29:U29)/3</f>
        <v>0</v>
      </c>
      <c r="W29" s="153"/>
      <c r="X29" s="153"/>
      <c r="Y29" s="153"/>
      <c r="Z29" s="153">
        <f>SUM(W29:Y29)/3</f>
        <v>0</v>
      </c>
      <c r="AA29" s="153"/>
      <c r="AB29" s="153"/>
      <c r="AC29" s="153"/>
      <c r="AD29" s="153"/>
      <c r="AE29" s="153"/>
      <c r="AF29" s="153"/>
      <c r="AG29" s="153"/>
      <c r="AH29" s="153">
        <f t="shared" si="20"/>
        <v>0</v>
      </c>
      <c r="AI29" s="146"/>
      <c r="AJ29" s="146"/>
      <c r="AK29" s="146"/>
      <c r="AL29" s="146"/>
      <c r="AM29" s="146"/>
      <c r="AN29" s="146"/>
    </row>
    <row r="30" spans="1:41" ht="121.5" customHeight="1">
      <c r="A30" s="152">
        <v>4</v>
      </c>
      <c r="B30" s="153" t="s">
        <v>253</v>
      </c>
      <c r="C30" s="156" t="s">
        <v>43</v>
      </c>
      <c r="D30" s="156" t="s">
        <v>43</v>
      </c>
      <c r="E30" s="156" t="s">
        <v>43</v>
      </c>
      <c r="F30" s="156" t="s">
        <v>43</v>
      </c>
      <c r="G30" s="156">
        <v>34</v>
      </c>
      <c r="H30" s="156">
        <v>41</v>
      </c>
      <c r="I30" s="156">
        <v>3</v>
      </c>
      <c r="J30" s="153">
        <f>SUM(G30:I30)/COUNTIF(G30:I30,"&gt;0")</f>
        <v>26</v>
      </c>
      <c r="K30" s="156" t="s">
        <v>43</v>
      </c>
      <c r="L30" s="156" t="s">
        <v>43</v>
      </c>
      <c r="M30" s="156" t="s">
        <v>43</v>
      </c>
      <c r="N30" s="156" t="s">
        <v>43</v>
      </c>
      <c r="O30" s="156"/>
      <c r="P30" s="156">
        <v>3</v>
      </c>
      <c r="Q30" s="156">
        <v>10</v>
      </c>
      <c r="R30" s="153">
        <f>SUM(O30:Q30)/COUNTIF(O30:Q30,"&gt;0")</f>
        <v>6.5</v>
      </c>
      <c r="S30" s="156" t="s">
        <v>43</v>
      </c>
      <c r="T30" s="156" t="s">
        <v>43</v>
      </c>
      <c r="U30" s="156" t="s">
        <v>43</v>
      </c>
      <c r="V30" s="156" t="s">
        <v>43</v>
      </c>
      <c r="W30" s="153">
        <v>6728.4</v>
      </c>
      <c r="X30" s="156">
        <v>5193</v>
      </c>
      <c r="Y30" s="156">
        <v>1980</v>
      </c>
      <c r="Z30" s="153">
        <f>SUM(W30:Y30)/COUNTIF(W30:Y30,"&gt;0")</f>
        <v>4633.8</v>
      </c>
      <c r="AA30" s="156" t="s">
        <v>43</v>
      </c>
      <c r="AB30" s="156" t="s">
        <v>43</v>
      </c>
      <c r="AC30" s="156" t="s">
        <v>43</v>
      </c>
      <c r="AD30" s="156" t="s">
        <v>43</v>
      </c>
      <c r="AE30" s="156"/>
      <c r="AG30" s="153"/>
      <c r="AH30" s="153"/>
      <c r="AI30" s="146">
        <f>'[1]Приложение 9 СТС'!R80*'[1]Прил. 10.1. Выпадающие до 15'!N34</f>
        <v>89055.76614393489</v>
      </c>
      <c r="AJ30" s="146"/>
      <c r="AK30" s="146">
        <f>AI30*Z30</f>
        <v>412666609.1577655</v>
      </c>
      <c r="AL30" s="146"/>
      <c r="AM30" s="146">
        <f>AI30*AH30</f>
        <v>0</v>
      </c>
      <c r="AN30" s="146">
        <f>AJ30+AK30+AL30+AM30</f>
        <v>412666609.1577655</v>
      </c>
      <c r="AO30" s="136">
        <f>AN30/Z30</f>
        <v>89055.76614393489</v>
      </c>
    </row>
    <row r="31" spans="1:40" ht="50.25" customHeight="1">
      <c r="A31" s="152">
        <v>5</v>
      </c>
      <c r="B31" s="153" t="s">
        <v>254</v>
      </c>
      <c r="C31" s="156" t="s">
        <v>43</v>
      </c>
      <c r="D31" s="156" t="s">
        <v>43</v>
      </c>
      <c r="E31" s="156" t="s">
        <v>43</v>
      </c>
      <c r="F31" s="156" t="s">
        <v>43</v>
      </c>
      <c r="G31" s="156"/>
      <c r="H31" s="156"/>
      <c r="I31" s="156"/>
      <c r="J31" s="153">
        <f>SUM(G31:I31)/3</f>
        <v>0</v>
      </c>
      <c r="K31" s="156" t="s">
        <v>43</v>
      </c>
      <c r="L31" s="156" t="s">
        <v>43</v>
      </c>
      <c r="M31" s="156" t="s">
        <v>43</v>
      </c>
      <c r="N31" s="156" t="s">
        <v>43</v>
      </c>
      <c r="O31" s="156"/>
      <c r="P31" s="156"/>
      <c r="Q31" s="156"/>
      <c r="R31" s="153">
        <f t="shared" si="19"/>
        <v>0</v>
      </c>
      <c r="S31" s="156" t="s">
        <v>43</v>
      </c>
      <c r="T31" s="156" t="s">
        <v>43</v>
      </c>
      <c r="U31" s="156" t="s">
        <v>43</v>
      </c>
      <c r="V31" s="156" t="s">
        <v>43</v>
      </c>
      <c r="W31" s="156"/>
      <c r="X31" s="156"/>
      <c r="Y31" s="156"/>
      <c r="Z31" s="153">
        <f>SUM(W31:Y31)/3</f>
        <v>0</v>
      </c>
      <c r="AA31" s="156" t="s">
        <v>43</v>
      </c>
      <c r="AB31" s="156" t="s">
        <v>43</v>
      </c>
      <c r="AC31" s="156" t="s">
        <v>43</v>
      </c>
      <c r="AD31" s="156" t="s">
        <v>43</v>
      </c>
      <c r="AE31" s="156"/>
      <c r="AF31" s="156"/>
      <c r="AG31" s="156"/>
      <c r="AH31" s="153">
        <f>SUM(AE31:AG31)/3</f>
        <v>0</v>
      </c>
      <c r="AI31" s="146"/>
      <c r="AJ31" s="146"/>
      <c r="AK31" s="146"/>
      <c r="AL31" s="146"/>
      <c r="AM31" s="146"/>
      <c r="AN31" s="146"/>
    </row>
    <row r="32" spans="1:41" ht="15" customHeight="1">
      <c r="A32" s="471" t="s">
        <v>262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146"/>
      <c r="AJ32" s="142">
        <f>AJ34+AJ35+AJ37+AJ38+AJ39+AJ40+AJ41</f>
        <v>300413.0844</v>
      </c>
      <c r="AK32" s="142">
        <f>AK34+AK35+AK37+AK38+AK39+AK40+AK41</f>
        <v>0</v>
      </c>
      <c r="AL32" s="142">
        <f>AL34+AL35+AL37+AL38+AL39+AL40+AL41</f>
        <v>140600.30985</v>
      </c>
      <c r="AM32" s="142">
        <f>AM34+AM35+AM37+AM38+AM39+AM40+AM41</f>
        <v>0</v>
      </c>
      <c r="AN32" s="142">
        <f>AN34+AN35+AN37+AN38+AN39+AN40+AN41</f>
        <v>441013.39425</v>
      </c>
      <c r="AO32" s="151">
        <f>'[1]Таблица 7 .1'!R19</f>
        <v>12633005.609664198</v>
      </c>
    </row>
    <row r="33" spans="1:42" ht="25.5">
      <c r="A33" s="152">
        <v>1</v>
      </c>
      <c r="B33" s="153" t="s">
        <v>245</v>
      </c>
      <c r="C33" s="153">
        <f>C34+C35</f>
        <v>0.172</v>
      </c>
      <c r="D33" s="153"/>
      <c r="E33" s="153"/>
      <c r="F33" s="153">
        <f>SUM(C33:E33)/COUNTIF(C33:E33,"&gt;0")</f>
        <v>0.172</v>
      </c>
      <c r="G33" s="153">
        <f>G34+G35</f>
        <v>0</v>
      </c>
      <c r="H33" s="153">
        <f>H34+H35</f>
        <v>0</v>
      </c>
      <c r="I33" s="153">
        <f>I34+I35</f>
        <v>0</v>
      </c>
      <c r="J33" s="153">
        <f aca="true" t="shared" si="21" ref="J33:J41">SUM(G33:I33)/3</f>
        <v>0</v>
      </c>
      <c r="K33" s="153">
        <f>K34+K35</f>
        <v>0</v>
      </c>
      <c r="L33" s="153">
        <f>L34+L35</f>
        <v>0.07</v>
      </c>
      <c r="M33" s="153">
        <f>M34+M35</f>
        <v>0.091</v>
      </c>
      <c r="N33" s="153">
        <f>SUM(K33:M33)/COUNTIF(K33:M33,"&gt;0")</f>
        <v>0.0805</v>
      </c>
      <c r="O33" s="153">
        <f>O34+O35</f>
        <v>0</v>
      </c>
      <c r="P33" s="153">
        <f>P34+P35</f>
        <v>0</v>
      </c>
      <c r="Q33" s="153">
        <f>Q34+Q35</f>
        <v>0</v>
      </c>
      <c r="R33" s="153">
        <f aca="true" t="shared" si="22" ref="R33:R41">SUM(O33:Q33)/3</f>
        <v>0</v>
      </c>
      <c r="S33" s="153">
        <f>S34+S35</f>
        <v>0</v>
      </c>
      <c r="T33" s="153">
        <f>T34+T35</f>
        <v>0</v>
      </c>
      <c r="U33" s="153">
        <f>U34+U35</f>
        <v>0</v>
      </c>
      <c r="V33" s="153">
        <f>SUM(S33:U33)/1</f>
        <v>0</v>
      </c>
      <c r="W33" s="153">
        <f>W34+W35</f>
        <v>0</v>
      </c>
      <c r="X33" s="153">
        <f>X34+X35</f>
        <v>0</v>
      </c>
      <c r="Y33" s="153">
        <f>Y34+Y35</f>
        <v>0</v>
      </c>
      <c r="Z33" s="153">
        <f aca="true" t="shared" si="23" ref="Z33:Z41">SUM(W33:Y33)/3</f>
        <v>0</v>
      </c>
      <c r="AA33" s="153">
        <f>AA34+AA35</f>
        <v>0</v>
      </c>
      <c r="AB33" s="153">
        <f>AB34+AB35</f>
        <v>0</v>
      </c>
      <c r="AC33" s="153">
        <f>AC34+AC35</f>
        <v>0</v>
      </c>
      <c r="AD33" s="153">
        <f aca="true" t="shared" si="24" ref="AD33:AD39">SUM(AA33:AC33)/3</f>
        <v>0</v>
      </c>
      <c r="AE33" s="153">
        <f>AE34+AE35</f>
        <v>0</v>
      </c>
      <c r="AF33" s="153">
        <f>AF34+AF35</f>
        <v>0</v>
      </c>
      <c r="AG33" s="153">
        <f>AG34+AG35</f>
        <v>0</v>
      </c>
      <c r="AH33" s="153">
        <f aca="true" t="shared" si="25" ref="AH33:AH41">SUM(AE33:AG33)/3</f>
        <v>0</v>
      </c>
      <c r="AI33" s="146"/>
      <c r="AJ33" s="146"/>
      <c r="AK33" s="146"/>
      <c r="AL33" s="146"/>
      <c r="AM33" s="146"/>
      <c r="AN33" s="146"/>
      <c r="AO33" s="147"/>
      <c r="AP33" s="136">
        <v>0.5</v>
      </c>
    </row>
    <row r="34" spans="1:40" ht="25.5">
      <c r="A34" s="154" t="s">
        <v>247</v>
      </c>
      <c r="B34" s="153" t="s">
        <v>85</v>
      </c>
      <c r="C34" s="153"/>
      <c r="D34" s="153"/>
      <c r="E34" s="153"/>
      <c r="F34" s="153"/>
      <c r="G34" s="153"/>
      <c r="H34" s="153"/>
      <c r="I34" s="153"/>
      <c r="J34" s="153">
        <f t="shared" si="21"/>
        <v>0</v>
      </c>
      <c r="K34" s="153"/>
      <c r="L34" s="153"/>
      <c r="M34" s="153"/>
      <c r="N34" s="153">
        <f aca="true" t="shared" si="26" ref="N34:N39">SUM(K34:M34)/3</f>
        <v>0</v>
      </c>
      <c r="O34" s="153"/>
      <c r="P34" s="153"/>
      <c r="Q34" s="153"/>
      <c r="R34" s="153">
        <f t="shared" si="22"/>
        <v>0</v>
      </c>
      <c r="S34" s="158"/>
      <c r="T34" s="158"/>
      <c r="U34" s="158"/>
      <c r="V34" s="153">
        <f aca="true" t="shared" si="27" ref="V34:V39">SUM(S34:U34)/3</f>
        <v>0</v>
      </c>
      <c r="W34" s="158"/>
      <c r="X34" s="158"/>
      <c r="Y34" s="158"/>
      <c r="Z34" s="153">
        <f t="shared" si="23"/>
        <v>0</v>
      </c>
      <c r="AA34" s="158"/>
      <c r="AB34" s="158"/>
      <c r="AC34" s="158"/>
      <c r="AD34" s="153">
        <f t="shared" si="24"/>
        <v>0</v>
      </c>
      <c r="AE34" s="158"/>
      <c r="AF34" s="158"/>
      <c r="AG34" s="158"/>
      <c r="AH34" s="153">
        <f t="shared" si="25"/>
        <v>0</v>
      </c>
      <c r="AI34" s="146"/>
      <c r="AJ34" s="146"/>
      <c r="AK34" s="146"/>
      <c r="AL34" s="146"/>
      <c r="AM34" s="146"/>
      <c r="AN34" s="146"/>
    </row>
    <row r="35" spans="1:41" ht="25.5">
      <c r="A35" s="154" t="s">
        <v>248</v>
      </c>
      <c r="B35" s="153" t="s">
        <v>86</v>
      </c>
      <c r="C35" s="153">
        <v>0.172</v>
      </c>
      <c r="D35" s="153"/>
      <c r="E35" s="153"/>
      <c r="F35" s="153">
        <f>SUM(C35:E35)/COUNTIF(C35:E35,"&gt;0")</f>
        <v>0.172</v>
      </c>
      <c r="G35" s="153"/>
      <c r="H35" s="153">
        <v>0</v>
      </c>
      <c r="I35" s="153"/>
      <c r="J35" s="153">
        <f t="shared" si="21"/>
        <v>0</v>
      </c>
      <c r="K35" s="153"/>
      <c r="L35" s="153">
        <v>0.07</v>
      </c>
      <c r="M35" s="153">
        <v>0.091</v>
      </c>
      <c r="N35" s="153">
        <f>SUM(K35:M35)/COUNTIF(K35:M35,"&gt;0")</f>
        <v>0.0805</v>
      </c>
      <c r="O35" s="153"/>
      <c r="P35" s="153">
        <v>0</v>
      </c>
      <c r="Q35" s="153"/>
      <c r="R35" s="153">
        <f t="shared" si="22"/>
        <v>0</v>
      </c>
      <c r="S35" s="158"/>
      <c r="T35" s="153">
        <v>0</v>
      </c>
      <c r="U35" s="158"/>
      <c r="V35" s="153"/>
      <c r="W35" s="158"/>
      <c r="X35" s="158">
        <v>0</v>
      </c>
      <c r="Y35" s="158"/>
      <c r="Z35" s="153">
        <f t="shared" si="23"/>
        <v>0</v>
      </c>
      <c r="AA35" s="158"/>
      <c r="AB35" s="158"/>
      <c r="AC35" s="158"/>
      <c r="AD35" s="153">
        <f t="shared" si="24"/>
        <v>0</v>
      </c>
      <c r="AE35" s="158"/>
      <c r="AF35" s="158">
        <v>0</v>
      </c>
      <c r="AG35" s="158"/>
      <c r="AH35" s="153">
        <f t="shared" si="25"/>
        <v>0</v>
      </c>
      <c r="AI35" s="146">
        <f>'[1]Приложение 9 СТС'!R36*'[1]Прил. 10.1. Выпадающие до 15'!N19</f>
        <v>1746587.7</v>
      </c>
      <c r="AJ35" s="146">
        <f>AI35*F35</f>
        <v>300413.0844</v>
      </c>
      <c r="AK35" s="146">
        <f>AI35*J35</f>
        <v>0</v>
      </c>
      <c r="AL35" s="146">
        <f>AI35*N35</f>
        <v>140600.30985</v>
      </c>
      <c r="AM35" s="146">
        <f>AI35*R35</f>
        <v>0</v>
      </c>
      <c r="AN35" s="146">
        <f>AJ35+AK35+AL35+AM35</f>
        <v>441013.39425</v>
      </c>
      <c r="AO35" s="364">
        <f>0.75*AN35/2</f>
        <v>165380.02284375002</v>
      </c>
    </row>
    <row r="36" spans="1:40" ht="25.5">
      <c r="A36" s="152">
        <v>2</v>
      </c>
      <c r="B36" s="153" t="s">
        <v>249</v>
      </c>
      <c r="C36" s="153">
        <f>C37+C38</f>
        <v>0</v>
      </c>
      <c r="D36" s="153"/>
      <c r="E36" s="153"/>
      <c r="F36" s="153"/>
      <c r="G36" s="153">
        <f>G37+G38</f>
        <v>0</v>
      </c>
      <c r="H36" s="153">
        <f>H37+H38</f>
        <v>0</v>
      </c>
      <c r="I36" s="153">
        <f>I37+I38</f>
        <v>0</v>
      </c>
      <c r="J36" s="153">
        <f t="shared" si="21"/>
        <v>0</v>
      </c>
      <c r="K36" s="153">
        <f>K37+K38</f>
        <v>0</v>
      </c>
      <c r="L36" s="153">
        <f>L37+L38</f>
        <v>0</v>
      </c>
      <c r="M36" s="153">
        <f>M37+M38</f>
        <v>0</v>
      </c>
      <c r="N36" s="153">
        <f t="shared" si="26"/>
        <v>0</v>
      </c>
      <c r="O36" s="153">
        <f>O37+O38</f>
        <v>0</v>
      </c>
      <c r="P36" s="153">
        <f>P37+P38</f>
        <v>0</v>
      </c>
      <c r="Q36" s="153">
        <f>Q37+Q38</f>
        <v>0</v>
      </c>
      <c r="R36" s="153">
        <f t="shared" si="22"/>
        <v>0</v>
      </c>
      <c r="S36" s="153">
        <f>S37+S38</f>
        <v>0</v>
      </c>
      <c r="T36" s="153">
        <f>T37+T38</f>
        <v>0</v>
      </c>
      <c r="U36" s="153">
        <f>U37+U38</f>
        <v>0</v>
      </c>
      <c r="V36" s="153">
        <f t="shared" si="27"/>
        <v>0</v>
      </c>
      <c r="W36" s="153">
        <f>W37+W38</f>
        <v>0</v>
      </c>
      <c r="X36" s="153">
        <f>X37+X38</f>
        <v>0</v>
      </c>
      <c r="Y36" s="153">
        <f>Y37+Y38</f>
        <v>0</v>
      </c>
      <c r="Z36" s="153">
        <f t="shared" si="23"/>
        <v>0</v>
      </c>
      <c r="AA36" s="153">
        <f>AA37+AA38</f>
        <v>0</v>
      </c>
      <c r="AB36" s="153">
        <f>AB37+AB38</f>
        <v>0</v>
      </c>
      <c r="AC36" s="153">
        <f>AC37+AC38</f>
        <v>0</v>
      </c>
      <c r="AD36" s="153">
        <f t="shared" si="24"/>
        <v>0</v>
      </c>
      <c r="AE36" s="153">
        <f>AE37+AE38</f>
        <v>0</v>
      </c>
      <c r="AF36" s="153">
        <f>AF37+AF38</f>
        <v>0</v>
      </c>
      <c r="AG36" s="153">
        <f>AG37+AG38</f>
        <v>0</v>
      </c>
      <c r="AH36" s="153">
        <f t="shared" si="25"/>
        <v>0</v>
      </c>
      <c r="AI36" s="146"/>
      <c r="AJ36" s="146"/>
      <c r="AK36" s="146"/>
      <c r="AL36" s="146"/>
      <c r="AM36" s="146"/>
      <c r="AN36" s="146"/>
    </row>
    <row r="37" spans="1:40" ht="25.5">
      <c r="A37" s="154" t="s">
        <v>250</v>
      </c>
      <c r="B37" s="153" t="s">
        <v>87</v>
      </c>
      <c r="C37" s="153"/>
      <c r="D37" s="153"/>
      <c r="E37" s="153"/>
      <c r="F37" s="153"/>
      <c r="G37" s="153"/>
      <c r="H37" s="153"/>
      <c r="I37" s="153"/>
      <c r="J37" s="153">
        <f t="shared" si="21"/>
        <v>0</v>
      </c>
      <c r="K37" s="153"/>
      <c r="L37" s="153"/>
      <c r="M37" s="153"/>
      <c r="N37" s="153">
        <f t="shared" si="26"/>
        <v>0</v>
      </c>
      <c r="O37" s="153"/>
      <c r="P37" s="153"/>
      <c r="Q37" s="153"/>
      <c r="R37" s="153">
        <f t="shared" si="22"/>
        <v>0</v>
      </c>
      <c r="S37" s="158"/>
      <c r="T37" s="158"/>
      <c r="U37" s="158"/>
      <c r="V37" s="153">
        <f t="shared" si="27"/>
        <v>0</v>
      </c>
      <c r="W37" s="158"/>
      <c r="X37" s="158"/>
      <c r="Y37" s="158"/>
      <c r="Z37" s="153">
        <f t="shared" si="23"/>
        <v>0</v>
      </c>
      <c r="AA37" s="158"/>
      <c r="AB37" s="158"/>
      <c r="AC37" s="158"/>
      <c r="AD37" s="153">
        <f t="shared" si="24"/>
        <v>0</v>
      </c>
      <c r="AE37" s="158"/>
      <c r="AF37" s="158"/>
      <c r="AG37" s="158"/>
      <c r="AH37" s="153">
        <f t="shared" si="25"/>
        <v>0</v>
      </c>
      <c r="AI37" s="146"/>
      <c r="AJ37" s="146"/>
      <c r="AK37" s="146"/>
      <c r="AL37" s="146"/>
      <c r="AM37" s="146"/>
      <c r="AN37" s="146"/>
    </row>
    <row r="38" spans="1:40" ht="25.5">
      <c r="A38" s="154" t="s">
        <v>251</v>
      </c>
      <c r="B38" s="153" t="s">
        <v>88</v>
      </c>
      <c r="C38" s="153"/>
      <c r="D38" s="153"/>
      <c r="E38" s="153"/>
      <c r="F38" s="153"/>
      <c r="G38" s="153"/>
      <c r="H38" s="153"/>
      <c r="I38" s="153"/>
      <c r="J38" s="153">
        <f t="shared" si="21"/>
        <v>0</v>
      </c>
      <c r="K38" s="153"/>
      <c r="L38" s="153"/>
      <c r="M38" s="153"/>
      <c r="N38" s="153">
        <f t="shared" si="26"/>
        <v>0</v>
      </c>
      <c r="O38" s="153"/>
      <c r="P38" s="153"/>
      <c r="Q38" s="153"/>
      <c r="R38" s="153">
        <f t="shared" si="22"/>
        <v>0</v>
      </c>
      <c r="S38" s="158"/>
      <c r="T38" s="158"/>
      <c r="U38" s="158"/>
      <c r="V38" s="153">
        <f t="shared" si="27"/>
        <v>0</v>
      </c>
      <c r="W38" s="158"/>
      <c r="X38" s="158"/>
      <c r="Y38" s="158"/>
      <c r="Z38" s="153">
        <f t="shared" si="23"/>
        <v>0</v>
      </c>
      <c r="AA38" s="158"/>
      <c r="AB38" s="158"/>
      <c r="AC38" s="158"/>
      <c r="AD38" s="153">
        <f t="shared" si="24"/>
        <v>0</v>
      </c>
      <c r="AE38" s="158"/>
      <c r="AF38" s="158"/>
      <c r="AG38" s="158"/>
      <c r="AH38" s="153">
        <f t="shared" si="25"/>
        <v>0</v>
      </c>
      <c r="AI38" s="146"/>
      <c r="AJ38" s="146"/>
      <c r="AK38" s="146"/>
      <c r="AL38" s="146"/>
      <c r="AM38" s="146"/>
      <c r="AN38" s="146"/>
    </row>
    <row r="39" spans="1:40" ht="25.5">
      <c r="A39" s="152">
        <v>3</v>
      </c>
      <c r="B39" s="153" t="s">
        <v>261</v>
      </c>
      <c r="C39" s="153"/>
      <c r="D39" s="153"/>
      <c r="E39" s="153"/>
      <c r="F39" s="153"/>
      <c r="G39" s="153"/>
      <c r="H39" s="153"/>
      <c r="I39" s="153"/>
      <c r="J39" s="153">
        <f t="shared" si="21"/>
        <v>0</v>
      </c>
      <c r="K39" s="153"/>
      <c r="L39" s="153"/>
      <c r="M39" s="153"/>
      <c r="N39" s="153">
        <f t="shared" si="26"/>
        <v>0</v>
      </c>
      <c r="O39" s="153"/>
      <c r="P39" s="153"/>
      <c r="Q39" s="153"/>
      <c r="R39" s="153">
        <f t="shared" si="22"/>
        <v>0</v>
      </c>
      <c r="S39" s="158"/>
      <c r="T39" s="158"/>
      <c r="U39" s="158"/>
      <c r="V39" s="153">
        <f t="shared" si="27"/>
        <v>0</v>
      </c>
      <c r="W39" s="158"/>
      <c r="X39" s="158"/>
      <c r="Y39" s="158"/>
      <c r="Z39" s="153">
        <f t="shared" si="23"/>
        <v>0</v>
      </c>
      <c r="AA39" s="158"/>
      <c r="AB39" s="158"/>
      <c r="AC39" s="158"/>
      <c r="AD39" s="153">
        <f t="shared" si="24"/>
        <v>0</v>
      </c>
      <c r="AE39" s="158"/>
      <c r="AF39" s="158"/>
      <c r="AG39" s="158"/>
      <c r="AH39" s="153">
        <f t="shared" si="25"/>
        <v>0</v>
      </c>
      <c r="AI39" s="146"/>
      <c r="AJ39" s="146"/>
      <c r="AK39" s="146"/>
      <c r="AL39" s="146"/>
      <c r="AM39" s="146"/>
      <c r="AN39" s="146"/>
    </row>
    <row r="40" spans="1:40" ht="121.5" customHeight="1">
      <c r="A40" s="152">
        <v>4</v>
      </c>
      <c r="B40" s="153" t="s">
        <v>253</v>
      </c>
      <c r="C40" s="156" t="s">
        <v>43</v>
      </c>
      <c r="D40" s="156" t="s">
        <v>43</v>
      </c>
      <c r="E40" s="156" t="s">
        <v>43</v>
      </c>
      <c r="F40" s="156" t="s">
        <v>43</v>
      </c>
      <c r="G40" s="156"/>
      <c r="H40" s="156"/>
      <c r="I40" s="156"/>
      <c r="J40" s="153">
        <f t="shared" si="21"/>
        <v>0</v>
      </c>
      <c r="K40" s="156" t="s">
        <v>43</v>
      </c>
      <c r="L40" s="156" t="s">
        <v>43</v>
      </c>
      <c r="M40" s="156" t="s">
        <v>43</v>
      </c>
      <c r="N40" s="156" t="s">
        <v>43</v>
      </c>
      <c r="O40" s="156"/>
      <c r="P40" s="156"/>
      <c r="Q40" s="156"/>
      <c r="R40" s="153">
        <f t="shared" si="22"/>
        <v>0</v>
      </c>
      <c r="S40" s="156" t="s">
        <v>43</v>
      </c>
      <c r="T40" s="156" t="s">
        <v>43</v>
      </c>
      <c r="U40" s="156" t="s">
        <v>43</v>
      </c>
      <c r="V40" s="156" t="s">
        <v>43</v>
      </c>
      <c r="W40" s="156"/>
      <c r="X40" s="156"/>
      <c r="Y40" s="156"/>
      <c r="Z40" s="153">
        <f t="shared" si="23"/>
        <v>0</v>
      </c>
      <c r="AA40" s="156" t="s">
        <v>43</v>
      </c>
      <c r="AB40" s="156" t="s">
        <v>43</v>
      </c>
      <c r="AC40" s="156" t="s">
        <v>43</v>
      </c>
      <c r="AD40" s="156" t="s">
        <v>43</v>
      </c>
      <c r="AE40" s="156"/>
      <c r="AF40" s="156"/>
      <c r="AG40" s="156"/>
      <c r="AH40" s="153">
        <f t="shared" si="25"/>
        <v>0</v>
      </c>
      <c r="AI40" s="146"/>
      <c r="AJ40" s="146"/>
      <c r="AK40" s="146"/>
      <c r="AL40" s="146"/>
      <c r="AM40" s="146"/>
      <c r="AN40" s="146"/>
    </row>
    <row r="41" spans="1:40" ht="51" customHeight="1">
      <c r="A41" s="152">
        <v>5</v>
      </c>
      <c r="B41" s="153" t="s">
        <v>254</v>
      </c>
      <c r="C41" s="156" t="s">
        <v>43</v>
      </c>
      <c r="D41" s="156" t="s">
        <v>43</v>
      </c>
      <c r="E41" s="156" t="s">
        <v>43</v>
      </c>
      <c r="F41" s="156" t="s">
        <v>43</v>
      </c>
      <c r="G41" s="156"/>
      <c r="H41" s="156"/>
      <c r="I41" s="156"/>
      <c r="J41" s="153">
        <f t="shared" si="21"/>
        <v>0</v>
      </c>
      <c r="K41" s="156" t="s">
        <v>43</v>
      </c>
      <c r="L41" s="156" t="s">
        <v>43</v>
      </c>
      <c r="M41" s="156" t="s">
        <v>43</v>
      </c>
      <c r="N41" s="156" t="s">
        <v>43</v>
      </c>
      <c r="O41" s="156"/>
      <c r="P41" s="156"/>
      <c r="Q41" s="156"/>
      <c r="R41" s="153">
        <f t="shared" si="22"/>
        <v>0</v>
      </c>
      <c r="S41" s="156" t="s">
        <v>43</v>
      </c>
      <c r="T41" s="156" t="s">
        <v>43</v>
      </c>
      <c r="U41" s="156" t="s">
        <v>43</v>
      </c>
      <c r="V41" s="156" t="s">
        <v>43</v>
      </c>
      <c r="W41" s="156"/>
      <c r="X41" s="156"/>
      <c r="Y41" s="156"/>
      <c r="Z41" s="153">
        <f t="shared" si="23"/>
        <v>0</v>
      </c>
      <c r="AA41" s="156" t="s">
        <v>43</v>
      </c>
      <c r="AB41" s="156" t="s">
        <v>43</v>
      </c>
      <c r="AC41" s="156" t="s">
        <v>43</v>
      </c>
      <c r="AD41" s="156" t="s">
        <v>43</v>
      </c>
      <c r="AE41" s="156"/>
      <c r="AF41" s="156"/>
      <c r="AG41" s="156"/>
      <c r="AH41" s="153">
        <f t="shared" si="25"/>
        <v>0</v>
      </c>
      <c r="AI41" s="146"/>
      <c r="AJ41" s="146"/>
      <c r="AK41" s="146"/>
      <c r="AL41" s="146"/>
      <c r="AM41" s="146"/>
      <c r="AN41" s="146"/>
    </row>
    <row r="42" spans="1:42" ht="15" customHeight="1">
      <c r="A42" s="471" t="s">
        <v>263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146"/>
      <c r="AJ42" s="142">
        <f>AJ44+AJ45+AJ47+AJ48+AJ49+AJ50+AJ51</f>
        <v>0</v>
      </c>
      <c r="AK42" s="142">
        <f>AK44+AK45+AK47+AK48+AK49+AK50+AK51</f>
        <v>0</v>
      </c>
      <c r="AL42" s="142">
        <f>AL44+AL45+AL47+AL48+AL49+AL50+AL51</f>
        <v>0</v>
      </c>
      <c r="AM42" s="142">
        <f>AM44+AM45+AM47+AM48+AM49+AM50+AM51</f>
        <v>65354858.491128534</v>
      </c>
      <c r="AN42" s="142">
        <f>AN44+AN45+AN47+AN48+AN49+AN50+AN51</f>
        <v>65354858.491128534</v>
      </c>
      <c r="AO42" s="365">
        <f>0.75*AN42/2</f>
        <v>24508071.9341732</v>
      </c>
      <c r="AP42" s="138">
        <f>AN42-AO42</f>
        <v>40846786.55695534</v>
      </c>
    </row>
    <row r="43" spans="1:40" ht="25.5">
      <c r="A43" s="152">
        <v>1</v>
      </c>
      <c r="B43" s="153" t="s">
        <v>245</v>
      </c>
      <c r="C43" s="153">
        <f>C44+C45</f>
        <v>0</v>
      </c>
      <c r="D43" s="153">
        <f>D44+D45</f>
        <v>0</v>
      </c>
      <c r="E43" s="153">
        <f>E44+E45</f>
        <v>0</v>
      </c>
      <c r="F43" s="153">
        <f aca="true" t="shared" si="28" ref="F43:F48">SUM(C43:E43)/3</f>
        <v>0</v>
      </c>
      <c r="G43" s="153">
        <f>G44+G45</f>
        <v>0</v>
      </c>
      <c r="H43" s="153">
        <f>H44+H45</f>
        <v>0</v>
      </c>
      <c r="I43" s="153">
        <f>I44+I45</f>
        <v>0</v>
      </c>
      <c r="J43" s="153">
        <f aca="true" t="shared" si="29" ref="J43:J50">SUM(G43:I43)/3</f>
        <v>0</v>
      </c>
      <c r="K43" s="153">
        <f>K44+K45</f>
        <v>0</v>
      </c>
      <c r="L43" s="153">
        <f>L44+L45</f>
        <v>0</v>
      </c>
      <c r="M43" s="153">
        <f>M44+M45</f>
        <v>0</v>
      </c>
      <c r="N43" s="153">
        <f aca="true" t="shared" si="30" ref="N43:N49">SUM(K43:M43)/3</f>
        <v>0</v>
      </c>
      <c r="O43" s="153">
        <f>O44+O45</f>
        <v>0</v>
      </c>
      <c r="P43" s="153">
        <f>P44+P45</f>
        <v>0.214</v>
      </c>
      <c r="Q43" s="153">
        <f>Q44+Q45</f>
        <v>0</v>
      </c>
      <c r="R43" s="153">
        <f>SUM(O43:Q43)/COUNTIF(O43:Q43,"&gt;0")</f>
        <v>0.214</v>
      </c>
      <c r="S43" s="153">
        <f>S44+S45</f>
        <v>0</v>
      </c>
      <c r="T43" s="153">
        <f>T44+T45</f>
        <v>0</v>
      </c>
      <c r="U43" s="153">
        <f>U44+U45</f>
        <v>0</v>
      </c>
      <c r="V43" s="153">
        <f aca="true" t="shared" si="31" ref="V43:V49">SUM(S43:U43)/3</f>
        <v>0</v>
      </c>
      <c r="W43" s="153">
        <f>W44+W45</f>
        <v>0</v>
      </c>
      <c r="X43" s="153">
        <f>X44+X45</f>
        <v>0</v>
      </c>
      <c r="Y43" s="153">
        <f>Y44+Y45</f>
        <v>0</v>
      </c>
      <c r="Z43" s="153">
        <f aca="true" t="shared" si="32" ref="Z43:Z50">SUM(W43:Y43)/3</f>
        <v>0</v>
      </c>
      <c r="AA43" s="153">
        <f>AA44+AA45</f>
        <v>0</v>
      </c>
      <c r="AB43" s="153">
        <f>AB44+AB45</f>
        <v>0</v>
      </c>
      <c r="AC43" s="153">
        <f>AC44+AC45</f>
        <v>0</v>
      </c>
      <c r="AD43" s="153">
        <f aca="true" t="shared" si="33" ref="AD43:AD49">SUM(AA43:AC43)/3</f>
        <v>0</v>
      </c>
      <c r="AE43" s="153">
        <f>AE44+AE45</f>
        <v>0</v>
      </c>
      <c r="AF43" s="153">
        <f>AF44+AF45</f>
        <v>142.4</v>
      </c>
      <c r="AG43" s="153">
        <f>AG44+AG45</f>
        <v>0</v>
      </c>
      <c r="AH43" s="153">
        <f>SUM(AE43:AG43)/COUNTIF(AE43:AG43,"&gt;0")</f>
        <v>142.4</v>
      </c>
      <c r="AI43" s="146"/>
      <c r="AJ43" s="146"/>
      <c r="AK43" s="146"/>
      <c r="AL43" s="146"/>
      <c r="AM43" s="146"/>
      <c r="AN43" s="146"/>
    </row>
    <row r="44" spans="1:40" ht="25.5">
      <c r="A44" s="154" t="s">
        <v>247</v>
      </c>
      <c r="B44" s="153" t="s">
        <v>85</v>
      </c>
      <c r="C44" s="153"/>
      <c r="D44" s="153"/>
      <c r="E44" s="153"/>
      <c r="F44" s="153">
        <f t="shared" si="28"/>
        <v>0</v>
      </c>
      <c r="G44" s="153"/>
      <c r="H44" s="153"/>
      <c r="I44" s="153"/>
      <c r="J44" s="153">
        <f t="shared" si="29"/>
        <v>0</v>
      </c>
      <c r="K44" s="153"/>
      <c r="L44" s="153"/>
      <c r="M44" s="153"/>
      <c r="N44" s="153">
        <f t="shared" si="30"/>
        <v>0</v>
      </c>
      <c r="O44" s="153"/>
      <c r="P44" s="153"/>
      <c r="Q44" s="153"/>
      <c r="R44" s="153">
        <f aca="true" t="shared" si="34" ref="R44:R49">SUM(O44:Q44)/3</f>
        <v>0</v>
      </c>
      <c r="S44" s="158"/>
      <c r="T44" s="158"/>
      <c r="U44" s="158"/>
      <c r="V44" s="153">
        <f t="shared" si="31"/>
        <v>0</v>
      </c>
      <c r="W44" s="158"/>
      <c r="X44" s="158"/>
      <c r="Y44" s="158"/>
      <c r="Z44" s="153">
        <f t="shared" si="32"/>
        <v>0</v>
      </c>
      <c r="AA44" s="158"/>
      <c r="AB44" s="158"/>
      <c r="AC44" s="158"/>
      <c r="AD44" s="153">
        <f t="shared" si="33"/>
        <v>0</v>
      </c>
      <c r="AE44" s="158"/>
      <c r="AF44" s="158"/>
      <c r="AG44" s="158"/>
      <c r="AH44" s="153">
        <f aca="true" t="shared" si="35" ref="AH44:AH49">SUM(AE44:AG44)/3</f>
        <v>0</v>
      </c>
      <c r="AI44" s="146"/>
      <c r="AJ44" s="146"/>
      <c r="AK44" s="146"/>
      <c r="AL44" s="146"/>
      <c r="AM44" s="146"/>
      <c r="AN44" s="146"/>
    </row>
    <row r="45" spans="1:42" ht="25.5">
      <c r="A45" s="154" t="s">
        <v>248</v>
      </c>
      <c r="B45" s="153" t="s">
        <v>86</v>
      </c>
      <c r="C45" s="153"/>
      <c r="D45" s="153"/>
      <c r="E45" s="153"/>
      <c r="F45" s="153">
        <f t="shared" si="28"/>
        <v>0</v>
      </c>
      <c r="G45" s="153"/>
      <c r="H45" s="153"/>
      <c r="I45" s="153"/>
      <c r="J45" s="153">
        <f t="shared" si="29"/>
        <v>0</v>
      </c>
      <c r="K45" s="153"/>
      <c r="L45" s="153"/>
      <c r="M45" s="153"/>
      <c r="N45" s="153">
        <f t="shared" si="30"/>
        <v>0</v>
      </c>
      <c r="O45" s="153"/>
      <c r="P45" s="153">
        <v>0.214</v>
      </c>
      <c r="Q45" s="153"/>
      <c r="R45" s="153">
        <f>SUM(O45:Q45)/COUNTIF(O45:Q45,"&gt;0")</f>
        <v>0.214</v>
      </c>
      <c r="S45" s="158"/>
      <c r="T45" s="158"/>
      <c r="U45" s="158"/>
      <c r="V45" s="153">
        <f t="shared" si="31"/>
        <v>0</v>
      </c>
      <c r="W45" s="158"/>
      <c r="X45" s="158"/>
      <c r="Y45" s="158"/>
      <c r="Z45" s="153">
        <f t="shared" si="32"/>
        <v>0</v>
      </c>
      <c r="AA45" s="158"/>
      <c r="AB45" s="158"/>
      <c r="AC45" s="158"/>
      <c r="AD45" s="153">
        <f t="shared" si="33"/>
        <v>0</v>
      </c>
      <c r="AE45" s="158"/>
      <c r="AF45" s="158">
        <v>142.4</v>
      </c>
      <c r="AG45" s="158"/>
      <c r="AH45" s="153">
        <f>SUM(AE45:AG45)/COUNTIF(AE45:AG45,"&gt;0")</f>
        <v>142.4</v>
      </c>
      <c r="AI45" s="146">
        <f>'[1]Приложение 9 СТС'!R39*'[1]Прил. 10.1. Выпадающие до 15'!N22</f>
        <v>2024322.3</v>
      </c>
      <c r="AJ45" s="146">
        <f>AI45*F45</f>
        <v>0</v>
      </c>
      <c r="AK45" s="146">
        <f>AI45*J45</f>
        <v>0</v>
      </c>
      <c r="AL45" s="146">
        <f>AI45*N45</f>
        <v>0</v>
      </c>
      <c r="AM45" s="146">
        <f>AI45*R45</f>
        <v>433204.9722</v>
      </c>
      <c r="AN45" s="146">
        <f>AJ45+AK45+AL45+AM45</f>
        <v>433204.9722</v>
      </c>
      <c r="AO45" s="147">
        <f>0.75*AN45/2</f>
        <v>162451.864575</v>
      </c>
      <c r="AP45" s="136">
        <v>0.5</v>
      </c>
    </row>
    <row r="46" spans="1:40" ht="25.5">
      <c r="A46" s="152">
        <v>2</v>
      </c>
      <c r="B46" s="153" t="s">
        <v>249</v>
      </c>
      <c r="C46" s="153">
        <f>C47+C48</f>
        <v>0</v>
      </c>
      <c r="D46" s="153">
        <f>D47+D48</f>
        <v>0</v>
      </c>
      <c r="E46" s="153">
        <f>E47+E48</f>
        <v>0</v>
      </c>
      <c r="F46" s="153">
        <f t="shared" si="28"/>
        <v>0</v>
      </c>
      <c r="G46" s="153">
        <f>G47+G48</f>
        <v>0</v>
      </c>
      <c r="H46" s="153">
        <f>H47+H48</f>
        <v>0</v>
      </c>
      <c r="I46" s="153">
        <f>I47+I48</f>
        <v>0</v>
      </c>
      <c r="J46" s="153">
        <f t="shared" si="29"/>
        <v>0</v>
      </c>
      <c r="K46" s="153">
        <f>K47+K48</f>
        <v>0</v>
      </c>
      <c r="L46" s="153">
        <f>L47+L48</f>
        <v>0</v>
      </c>
      <c r="M46" s="153">
        <f>M47+M48</f>
        <v>0</v>
      </c>
      <c r="N46" s="153">
        <f t="shared" si="30"/>
        <v>0</v>
      </c>
      <c r="O46" s="153">
        <f>O47+O48</f>
        <v>0</v>
      </c>
      <c r="P46" s="153">
        <f>P47+P48</f>
        <v>0</v>
      </c>
      <c r="Q46" s="153">
        <f>Q47+Q48</f>
        <v>0</v>
      </c>
      <c r="R46" s="153">
        <f t="shared" si="34"/>
        <v>0</v>
      </c>
      <c r="S46" s="153">
        <f>S47+S48</f>
        <v>0</v>
      </c>
      <c r="T46" s="153">
        <f>T47+T48</f>
        <v>0</v>
      </c>
      <c r="U46" s="153">
        <f>U47+U48</f>
        <v>0</v>
      </c>
      <c r="V46" s="153">
        <f t="shared" si="31"/>
        <v>0</v>
      </c>
      <c r="W46" s="153">
        <f>W47+W48</f>
        <v>0</v>
      </c>
      <c r="X46" s="153">
        <f>X47+X48</f>
        <v>0</v>
      </c>
      <c r="Y46" s="153">
        <f>Y47+Y48</f>
        <v>0</v>
      </c>
      <c r="Z46" s="153">
        <f t="shared" si="32"/>
        <v>0</v>
      </c>
      <c r="AA46" s="153">
        <f>AA47+AA48</f>
        <v>0</v>
      </c>
      <c r="AB46" s="153">
        <f>AB47+AB48</f>
        <v>0</v>
      </c>
      <c r="AC46" s="153">
        <f>AC47+AC48</f>
        <v>0</v>
      </c>
      <c r="AD46" s="153">
        <f t="shared" si="33"/>
        <v>0</v>
      </c>
      <c r="AE46" s="153">
        <f>AE47+AE48</f>
        <v>0</v>
      </c>
      <c r="AF46" s="153">
        <f>AF47+AF48</f>
        <v>0</v>
      </c>
      <c r="AG46" s="153">
        <f>AG47+AG48</f>
        <v>0</v>
      </c>
      <c r="AH46" s="153">
        <f t="shared" si="35"/>
        <v>0</v>
      </c>
      <c r="AI46" s="146"/>
      <c r="AJ46" s="146"/>
      <c r="AK46" s="146"/>
      <c r="AL46" s="146"/>
      <c r="AM46" s="146"/>
      <c r="AN46" s="146"/>
    </row>
    <row r="47" spans="1:40" ht="25.5">
      <c r="A47" s="154" t="s">
        <v>250</v>
      </c>
      <c r="B47" s="153" t="s">
        <v>87</v>
      </c>
      <c r="C47" s="153"/>
      <c r="D47" s="153"/>
      <c r="E47" s="153"/>
      <c r="F47" s="153">
        <f t="shared" si="28"/>
        <v>0</v>
      </c>
      <c r="G47" s="153"/>
      <c r="H47" s="153"/>
      <c r="I47" s="153"/>
      <c r="J47" s="153">
        <f t="shared" si="29"/>
        <v>0</v>
      </c>
      <c r="K47" s="153"/>
      <c r="L47" s="153"/>
      <c r="M47" s="153"/>
      <c r="N47" s="153">
        <f t="shared" si="30"/>
        <v>0</v>
      </c>
      <c r="O47" s="153"/>
      <c r="P47" s="153"/>
      <c r="Q47" s="153"/>
      <c r="R47" s="153">
        <f t="shared" si="34"/>
        <v>0</v>
      </c>
      <c r="S47" s="158"/>
      <c r="T47" s="158"/>
      <c r="U47" s="158"/>
      <c r="V47" s="153">
        <f t="shared" si="31"/>
        <v>0</v>
      </c>
      <c r="W47" s="158"/>
      <c r="X47" s="158"/>
      <c r="Y47" s="158"/>
      <c r="Z47" s="153">
        <f t="shared" si="32"/>
        <v>0</v>
      </c>
      <c r="AA47" s="158"/>
      <c r="AB47" s="158"/>
      <c r="AC47" s="158"/>
      <c r="AD47" s="153">
        <f t="shared" si="33"/>
        <v>0</v>
      </c>
      <c r="AE47" s="158"/>
      <c r="AF47" s="158"/>
      <c r="AG47" s="158"/>
      <c r="AH47" s="153">
        <f t="shared" si="35"/>
        <v>0</v>
      </c>
      <c r="AI47" s="146"/>
      <c r="AJ47" s="146"/>
      <c r="AK47" s="146"/>
      <c r="AL47" s="146"/>
      <c r="AM47" s="146"/>
      <c r="AN47" s="146"/>
    </row>
    <row r="48" spans="1:40" ht="25.5">
      <c r="A48" s="154" t="s">
        <v>251</v>
      </c>
      <c r="B48" s="153" t="s">
        <v>88</v>
      </c>
      <c r="C48" s="153"/>
      <c r="D48" s="153"/>
      <c r="E48" s="153"/>
      <c r="F48" s="153">
        <f t="shared" si="28"/>
        <v>0</v>
      </c>
      <c r="G48" s="153"/>
      <c r="H48" s="153"/>
      <c r="I48" s="153"/>
      <c r="J48" s="153">
        <f t="shared" si="29"/>
        <v>0</v>
      </c>
      <c r="K48" s="153"/>
      <c r="L48" s="153"/>
      <c r="M48" s="153"/>
      <c r="N48" s="153">
        <f t="shared" si="30"/>
        <v>0</v>
      </c>
      <c r="O48" s="153"/>
      <c r="P48" s="153"/>
      <c r="Q48" s="153"/>
      <c r="R48" s="153">
        <f t="shared" si="34"/>
        <v>0</v>
      </c>
      <c r="S48" s="158"/>
      <c r="T48" s="158"/>
      <c r="U48" s="158"/>
      <c r="V48" s="153">
        <f t="shared" si="31"/>
        <v>0</v>
      </c>
      <c r="W48" s="158"/>
      <c r="X48" s="158"/>
      <c r="Y48" s="158"/>
      <c r="Z48" s="153">
        <f t="shared" si="32"/>
        <v>0</v>
      </c>
      <c r="AA48" s="158"/>
      <c r="AB48" s="158"/>
      <c r="AC48" s="158"/>
      <c r="AD48" s="153">
        <f t="shared" si="33"/>
        <v>0</v>
      </c>
      <c r="AE48" s="158"/>
      <c r="AF48" s="158"/>
      <c r="AG48" s="158"/>
      <c r="AH48" s="153">
        <f t="shared" si="35"/>
        <v>0</v>
      </c>
      <c r="AI48" s="146"/>
      <c r="AJ48" s="146"/>
      <c r="AK48" s="146"/>
      <c r="AL48" s="146"/>
      <c r="AM48" s="146"/>
      <c r="AN48" s="146"/>
    </row>
    <row r="49" spans="1:40" ht="25.5">
      <c r="A49" s="152">
        <v>3</v>
      </c>
      <c r="B49" s="153" t="s">
        <v>261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>
        <f t="shared" si="30"/>
        <v>0</v>
      </c>
      <c r="O49" s="153"/>
      <c r="P49" s="153"/>
      <c r="Q49" s="153"/>
      <c r="R49" s="153">
        <f t="shared" si="34"/>
        <v>0</v>
      </c>
      <c r="S49" s="158"/>
      <c r="T49" s="158"/>
      <c r="U49" s="158"/>
      <c r="V49" s="153">
        <f t="shared" si="31"/>
        <v>0</v>
      </c>
      <c r="W49" s="158"/>
      <c r="X49" s="158"/>
      <c r="Y49" s="158"/>
      <c r="Z49" s="153">
        <f t="shared" si="32"/>
        <v>0</v>
      </c>
      <c r="AA49" s="158"/>
      <c r="AB49" s="158"/>
      <c r="AC49" s="158"/>
      <c r="AD49" s="153">
        <f t="shared" si="33"/>
        <v>0</v>
      </c>
      <c r="AE49" s="158"/>
      <c r="AF49" s="158"/>
      <c r="AG49" s="158"/>
      <c r="AH49" s="153">
        <f t="shared" si="35"/>
        <v>0</v>
      </c>
      <c r="AI49" s="146"/>
      <c r="AJ49" s="146"/>
      <c r="AK49" s="146"/>
      <c r="AL49" s="146"/>
      <c r="AM49" s="146"/>
      <c r="AN49" s="146"/>
    </row>
    <row r="50" spans="1:41" ht="99.75" customHeight="1">
      <c r="A50" s="152">
        <v>4</v>
      </c>
      <c r="B50" s="153" t="s">
        <v>253</v>
      </c>
      <c r="C50" s="156" t="s">
        <v>43</v>
      </c>
      <c r="D50" s="156" t="s">
        <v>43</v>
      </c>
      <c r="E50" s="156" t="s">
        <v>43</v>
      </c>
      <c r="F50" s="156" t="s">
        <v>43</v>
      </c>
      <c r="G50" s="156"/>
      <c r="H50" s="156"/>
      <c r="I50" s="156"/>
      <c r="J50" s="153">
        <f t="shared" si="29"/>
        <v>0</v>
      </c>
      <c r="K50" s="156" t="s">
        <v>43</v>
      </c>
      <c r="L50" s="156" t="s">
        <v>43</v>
      </c>
      <c r="M50" s="156" t="s">
        <v>43</v>
      </c>
      <c r="N50" s="156" t="s">
        <v>43</v>
      </c>
      <c r="O50" s="156">
        <v>1</v>
      </c>
      <c r="P50" s="156"/>
      <c r="Q50" s="156"/>
      <c r="R50" s="153">
        <f>SUM(O50:Q50)/COUNTIF(O50:Q50,"&gt;0")</f>
        <v>1</v>
      </c>
      <c r="S50" s="156" t="s">
        <v>43</v>
      </c>
      <c r="T50" s="156" t="s">
        <v>43</v>
      </c>
      <c r="U50" s="156" t="s">
        <v>43</v>
      </c>
      <c r="V50" s="156" t="s">
        <v>43</v>
      </c>
      <c r="W50" s="156"/>
      <c r="X50" s="156"/>
      <c r="Y50" s="156"/>
      <c r="Z50" s="153">
        <f t="shared" si="32"/>
        <v>0</v>
      </c>
      <c r="AA50" s="156" t="s">
        <v>43</v>
      </c>
      <c r="AB50" s="156" t="s">
        <v>43</v>
      </c>
      <c r="AC50" s="156" t="s">
        <v>43</v>
      </c>
      <c r="AD50" s="156" t="s">
        <v>43</v>
      </c>
      <c r="AE50" s="156">
        <v>729</v>
      </c>
      <c r="AF50" s="156"/>
      <c r="AG50" s="156"/>
      <c r="AH50" s="153">
        <f>SUM(AE50:AG50)/COUNTIF(AE50:AG50,"&gt;0")</f>
        <v>729</v>
      </c>
      <c r="AI50" s="146">
        <f>'[1]Приложение 9 СТС'!R80*'[1]Прил. 10.1. Выпадающие до 15'!N34</f>
        <v>89055.76614393489</v>
      </c>
      <c r="AJ50" s="146"/>
      <c r="AK50" s="146">
        <f>AI50*Z50</f>
        <v>0</v>
      </c>
      <c r="AL50" s="146"/>
      <c r="AM50" s="146">
        <f>AI50*AH50</f>
        <v>64921653.518928535</v>
      </c>
      <c r="AN50" s="146">
        <f>AJ50+AK50+AL50+AM50</f>
        <v>64921653.518928535</v>
      </c>
      <c r="AO50" s="366">
        <f>0.75*AN50/2</f>
        <v>24345620.0695982</v>
      </c>
    </row>
    <row r="51" spans="1:40" ht="0.75" customHeight="1" hidden="1">
      <c r="A51" s="152">
        <v>5</v>
      </c>
      <c r="B51" s="153" t="s">
        <v>254</v>
      </c>
      <c r="C51" s="156" t="s">
        <v>43</v>
      </c>
      <c r="D51" s="156" t="s">
        <v>43</v>
      </c>
      <c r="E51" s="156" t="s">
        <v>43</v>
      </c>
      <c r="F51" s="156" t="s">
        <v>43</v>
      </c>
      <c r="G51" s="156"/>
      <c r="H51" s="156"/>
      <c r="I51" s="156"/>
      <c r="J51" s="153">
        <f>SUM(G51:I51)/3</f>
        <v>0</v>
      </c>
      <c r="K51" s="156" t="s">
        <v>43</v>
      </c>
      <c r="L51" s="156" t="s">
        <v>43</v>
      </c>
      <c r="M51" s="156" t="s">
        <v>43</v>
      </c>
      <c r="N51" s="156" t="s">
        <v>43</v>
      </c>
      <c r="O51" s="156"/>
      <c r="P51" s="156"/>
      <c r="Q51" s="156"/>
      <c r="R51" s="153">
        <f>SUM(O51:Q51)/3</f>
        <v>0</v>
      </c>
      <c r="S51" s="156" t="s">
        <v>43</v>
      </c>
      <c r="T51" s="156" t="s">
        <v>43</v>
      </c>
      <c r="U51" s="156" t="s">
        <v>43</v>
      </c>
      <c r="V51" s="156" t="s">
        <v>43</v>
      </c>
      <c r="W51" s="156"/>
      <c r="X51" s="156"/>
      <c r="Y51" s="156"/>
      <c r="Z51" s="153">
        <f>SUM(W51:Y51)/3</f>
        <v>0</v>
      </c>
      <c r="AA51" s="156" t="s">
        <v>43</v>
      </c>
      <c r="AB51" s="156" t="s">
        <v>43</v>
      </c>
      <c r="AC51" s="156" t="s">
        <v>43</v>
      </c>
      <c r="AD51" s="156" t="s">
        <v>43</v>
      </c>
      <c r="AE51" s="156"/>
      <c r="AF51" s="156"/>
      <c r="AG51" s="156"/>
      <c r="AH51" s="153">
        <f>SUM(AE51:AG51)/3</f>
        <v>0</v>
      </c>
      <c r="AI51" s="146"/>
      <c r="AJ51" s="146"/>
      <c r="AK51" s="146"/>
      <c r="AL51" s="146"/>
      <c r="AM51" s="146"/>
      <c r="AN51" s="146"/>
    </row>
    <row r="52" spans="1:41" ht="15" customHeight="1">
      <c r="A52" s="471" t="s">
        <v>264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146"/>
      <c r="AJ52" s="142">
        <f>AJ54+AJ55+AJ57+AJ58+AJ59+AJ60+AJ61</f>
        <v>6860428.2747</v>
      </c>
      <c r="AK52" s="142">
        <f>AK54+AK55+AK57+AK58+AK59+AK60+AK61</f>
        <v>29178957.216710698</v>
      </c>
      <c r="AL52" s="142">
        <f>AL54+AL55+AL57+AL58+AL59+AL60+AL61</f>
        <v>1125523.1988000001</v>
      </c>
      <c r="AM52" s="142">
        <f>AM54+AM55+AM57+AM58+AM59+AM60+AM61</f>
        <v>101216.115</v>
      </c>
      <c r="AN52" s="142">
        <f>AN54+AN55+AN57+AN58+AN59+AN60+AN61</f>
        <v>37266124.805210695</v>
      </c>
      <c r="AO52" s="151">
        <f>AN52+'[1]Таблица 7 .1'!S19</f>
        <v>39971311.50656959</v>
      </c>
    </row>
    <row r="53" spans="1:41" ht="32.25" customHeight="1">
      <c r="A53" s="152">
        <v>1</v>
      </c>
      <c r="B53" s="153" t="s">
        <v>245</v>
      </c>
      <c r="C53" s="153">
        <f>C54+C55</f>
        <v>3.389</v>
      </c>
      <c r="D53" s="153"/>
      <c r="E53" s="153"/>
      <c r="F53" s="153">
        <f>SUM(C53:E53)/COUNTIF(C53:E53,"&gt;0")</f>
        <v>3.389</v>
      </c>
      <c r="G53" s="153">
        <f>G54+G55</f>
        <v>1.915</v>
      </c>
      <c r="H53" s="153"/>
      <c r="I53" s="153">
        <f>I54+I55</f>
        <v>0.283</v>
      </c>
      <c r="J53" s="153">
        <f>SUM(G53:I53)/COUNTIF(G53:I53,"&gt;0")</f>
        <v>1.099</v>
      </c>
      <c r="K53" s="153">
        <f>K54+K55</f>
        <v>0</v>
      </c>
      <c r="L53" s="153">
        <f>L54+L55</f>
        <v>0.546</v>
      </c>
      <c r="M53" s="153">
        <f>M54+M55</f>
        <v>0.566</v>
      </c>
      <c r="N53" s="153">
        <f>SUM(K53:M53)/COUNTIF(K53:M53,"&gt;0")</f>
        <v>0.556</v>
      </c>
      <c r="O53" s="153">
        <f>O54+O55</f>
        <v>0</v>
      </c>
      <c r="P53" s="153">
        <f>P54+P55</f>
        <v>0.05</v>
      </c>
      <c r="Q53" s="153">
        <f>Q54+Q55</f>
        <v>0</v>
      </c>
      <c r="R53" s="153">
        <f>SUM(O53:Q53)/COUNTIF(O53:Q53,"&gt;0")</f>
        <v>0.05</v>
      </c>
      <c r="S53" s="153">
        <f>S54+S55</f>
        <v>414</v>
      </c>
      <c r="T53" s="153"/>
      <c r="U53" s="153"/>
      <c r="V53" s="153">
        <f>SUM(S53:U53)/COUNTIF(S53:U53,"&gt;0")</f>
        <v>414</v>
      </c>
      <c r="W53" s="153">
        <f>W54+W55</f>
        <v>540</v>
      </c>
      <c r="X53" s="153"/>
      <c r="Y53" s="153">
        <f>Y54+Y55</f>
        <v>213.6</v>
      </c>
      <c r="Z53" s="153">
        <f>SUM(W53:Y53)/COUNTIF(W53:Y53,"&gt;0")</f>
        <v>376.8</v>
      </c>
      <c r="AA53" s="153">
        <f>AA54+AA55</f>
        <v>0</v>
      </c>
      <c r="AB53" s="153">
        <f>AB54+AB55</f>
        <v>0</v>
      </c>
      <c r="AC53" s="153">
        <f>AC54+AC55</f>
        <v>0</v>
      </c>
      <c r="AD53" s="153"/>
      <c r="AE53" s="153">
        <f>AE54+AE55</f>
        <v>0</v>
      </c>
      <c r="AF53" s="153">
        <f>AF54+AF55</f>
        <v>142.4</v>
      </c>
      <c r="AG53" s="153">
        <f>AG54+AG55</f>
        <v>0</v>
      </c>
      <c r="AH53" s="153">
        <f>SUM(AE53:AG53)/COUNTIF(AE53:AG53,"&gt;0")</f>
        <v>142.4</v>
      </c>
      <c r="AI53" s="146"/>
      <c r="AJ53" s="146"/>
      <c r="AK53" s="146"/>
      <c r="AL53" s="146"/>
      <c r="AM53" s="146"/>
      <c r="AN53" s="146"/>
      <c r="AO53" s="147">
        <f>0.75*AN52/2</f>
        <v>13974796.80195401</v>
      </c>
    </row>
    <row r="54" spans="1:41" ht="32.25" customHeight="1">
      <c r="A54" s="154" t="s">
        <v>247</v>
      </c>
      <c r="B54" s="153" t="s">
        <v>85</v>
      </c>
      <c r="C54" s="153"/>
      <c r="D54" s="153"/>
      <c r="E54" s="153"/>
      <c r="F54" s="153">
        <f aca="true" t="shared" si="36" ref="F54:F59">SUM(C54:E54)/3</f>
        <v>0</v>
      </c>
      <c r="G54" s="158"/>
      <c r="H54" s="158"/>
      <c r="I54" s="158"/>
      <c r="J54" s="153">
        <f>SUM(G54:I54)/3</f>
        <v>0</v>
      </c>
      <c r="K54" s="158"/>
      <c r="L54" s="158"/>
      <c r="M54" s="158"/>
      <c r="N54" s="153">
        <f aca="true" t="shared" si="37" ref="N54:N59">SUM(K54:M54)/3</f>
        <v>0</v>
      </c>
      <c r="O54" s="158"/>
      <c r="P54" s="158"/>
      <c r="Q54" s="158"/>
      <c r="R54" s="153">
        <f aca="true" t="shared" si="38" ref="R54:R61">SUM(O54:Q54)/3</f>
        <v>0</v>
      </c>
      <c r="S54" s="158"/>
      <c r="T54" s="158"/>
      <c r="U54" s="158"/>
      <c r="V54" s="153">
        <f aca="true" t="shared" si="39" ref="V54:V59">SUM(S54:U54)/3</f>
        <v>0</v>
      </c>
      <c r="W54" s="158"/>
      <c r="X54" s="158"/>
      <c r="Y54" s="158"/>
      <c r="Z54" s="153">
        <f aca="true" t="shared" si="40" ref="Z54:Z59">SUM(W54:Y54)/3</f>
        <v>0</v>
      </c>
      <c r="AA54" s="158"/>
      <c r="AB54" s="158"/>
      <c r="AC54" s="158"/>
      <c r="AD54" s="153">
        <f aca="true" t="shared" si="41" ref="AD54:AD59">SUM(AA54:AC54)/3</f>
        <v>0</v>
      </c>
      <c r="AE54" s="158"/>
      <c r="AF54" s="158"/>
      <c r="AG54" s="158"/>
      <c r="AH54" s="153">
        <f aca="true" t="shared" si="42" ref="AH54:AH60">SUM(AE54:AG54)/3</f>
        <v>0</v>
      </c>
      <c r="AI54" s="146">
        <f>'[1]Приложение 9 СТС'!X38*'[1]Прил. 10.1. Выпадающие до 15'!N18</f>
        <v>0</v>
      </c>
      <c r="AJ54" s="146">
        <f>AI54*F54</f>
        <v>0</v>
      </c>
      <c r="AK54" s="146">
        <f>AI54*J54</f>
        <v>0</v>
      </c>
      <c r="AL54" s="146">
        <f>AI54*N54</f>
        <v>0</v>
      </c>
      <c r="AM54" s="146">
        <f>AI54*R54</f>
        <v>0</v>
      </c>
      <c r="AN54" s="146">
        <f>AJ54+AK54+AL54+AM54</f>
        <v>0</v>
      </c>
      <c r="AO54" s="159"/>
    </row>
    <row r="55" spans="1:41" ht="32.25" customHeight="1">
      <c r="A55" s="154" t="s">
        <v>248</v>
      </c>
      <c r="B55" s="153" t="s">
        <v>86</v>
      </c>
      <c r="C55" s="153">
        <v>3.389</v>
      </c>
      <c r="D55" s="153"/>
      <c r="E55" s="153"/>
      <c r="F55" s="153">
        <f>SUM(C55:E55)/COUNTIF(C55:E55,"&gt;0")</f>
        <v>3.389</v>
      </c>
      <c r="G55" s="158">
        <v>1.915</v>
      </c>
      <c r="H55" s="158"/>
      <c r="I55" s="158">
        <v>0.283</v>
      </c>
      <c r="J55" s="153">
        <f>SUM(G55:I55)/COUNTIF(G55:I55,"&gt;0")</f>
        <v>1.099</v>
      </c>
      <c r="K55" s="158"/>
      <c r="L55" s="158">
        <v>0.546</v>
      </c>
      <c r="M55" s="158">
        <v>0.566</v>
      </c>
      <c r="N55" s="153">
        <f>SUM(K55:M55)/COUNTIF(K55:M55,"&gt;0")</f>
        <v>0.556</v>
      </c>
      <c r="O55" s="158"/>
      <c r="P55" s="158">
        <v>0.05</v>
      </c>
      <c r="Q55" s="158"/>
      <c r="R55" s="153">
        <f>SUM(O55:Q55)/COUNTIF(O55:Q55,"&gt;0")</f>
        <v>0.05</v>
      </c>
      <c r="S55" s="158">
        <v>414</v>
      </c>
      <c r="T55" s="158"/>
      <c r="U55" s="158"/>
      <c r="V55" s="153">
        <f>SUM(S55:U55)/COUNTIF(S55:U55,"&gt;0")</f>
        <v>414</v>
      </c>
      <c r="W55" s="158">
        <v>540</v>
      </c>
      <c r="X55" s="158"/>
      <c r="Y55" s="158">
        <v>213.6</v>
      </c>
      <c r="Z55" s="153">
        <f>SUM(W55:Y55)/COUNTIF(W55:Y55,"&gt;0")</f>
        <v>376.8</v>
      </c>
      <c r="AA55" s="158"/>
      <c r="AB55" s="158"/>
      <c r="AC55" s="158"/>
      <c r="AD55" s="153"/>
      <c r="AE55" s="158"/>
      <c r="AF55" s="158">
        <v>142.4</v>
      </c>
      <c r="AG55" s="158"/>
      <c r="AH55" s="153">
        <f>SUM(AE55:AG55)/COUNTIF(AE55:AG55,"&gt;0")</f>
        <v>142.4</v>
      </c>
      <c r="AI55" s="146">
        <f>'[1]Приложение 9 СТС'!R39*'[1]Прил. 10.1. Выпадающие до 15'!N19</f>
        <v>2024322.3</v>
      </c>
      <c r="AJ55" s="146">
        <f>AI55*F55</f>
        <v>6860428.2747</v>
      </c>
      <c r="AK55" s="146">
        <f>AI55*J55</f>
        <v>2224730.2077</v>
      </c>
      <c r="AL55" s="146">
        <f>AI55*N55</f>
        <v>1125523.1988000001</v>
      </c>
      <c r="AM55" s="146">
        <f>AI55*R55</f>
        <v>101216.115</v>
      </c>
      <c r="AN55" s="146">
        <f>AJ55+AK55+AL55+AM55</f>
        <v>10311897.7962</v>
      </c>
      <c r="AO55" s="164">
        <f>0.75*AN55/2</f>
        <v>3866961.673575</v>
      </c>
    </row>
    <row r="56" spans="1:41" ht="32.25" customHeight="1">
      <c r="A56" s="152">
        <v>2</v>
      </c>
      <c r="B56" s="153" t="s">
        <v>249</v>
      </c>
      <c r="C56" s="153">
        <f>C57+C58</f>
        <v>0</v>
      </c>
      <c r="D56" s="153"/>
      <c r="E56" s="153"/>
      <c r="F56" s="153"/>
      <c r="G56" s="153">
        <f>G57+G58</f>
        <v>0</v>
      </c>
      <c r="H56" s="153"/>
      <c r="I56" s="153"/>
      <c r="J56" s="153"/>
      <c r="K56" s="153">
        <f>K57+K58</f>
        <v>0</v>
      </c>
      <c r="L56" s="153">
        <f>L57+L58</f>
        <v>0</v>
      </c>
      <c r="M56" s="153">
        <f>M57+M58</f>
        <v>0</v>
      </c>
      <c r="N56" s="153">
        <f t="shared" si="37"/>
        <v>0</v>
      </c>
      <c r="O56" s="153">
        <f>O57+O58</f>
        <v>0</v>
      </c>
      <c r="P56" s="153">
        <f>P57+P58</f>
        <v>0</v>
      </c>
      <c r="Q56" s="153">
        <f>Q57+Q58</f>
        <v>0</v>
      </c>
      <c r="R56" s="153">
        <f t="shared" si="38"/>
        <v>0</v>
      </c>
      <c r="S56" s="153">
        <f>S57+S58</f>
        <v>0</v>
      </c>
      <c r="T56" s="153"/>
      <c r="U56" s="153"/>
      <c r="V56" s="153"/>
      <c r="W56" s="153">
        <f>W57+W58</f>
        <v>0</v>
      </c>
      <c r="X56" s="153"/>
      <c r="Y56" s="153"/>
      <c r="Z56" s="153"/>
      <c r="AA56" s="153">
        <f>AA57+AA58</f>
        <v>0</v>
      </c>
      <c r="AB56" s="153">
        <f>AB57+AB58</f>
        <v>0</v>
      </c>
      <c r="AC56" s="153">
        <f>AC57+AC58</f>
        <v>0</v>
      </c>
      <c r="AD56" s="153">
        <f t="shared" si="41"/>
        <v>0</v>
      </c>
      <c r="AE56" s="153">
        <f>AE57+AE58</f>
        <v>0</v>
      </c>
      <c r="AF56" s="153">
        <f>AF57+AF58</f>
        <v>0</v>
      </c>
      <c r="AG56" s="153">
        <f>AG57+AG58</f>
        <v>0</v>
      </c>
      <c r="AH56" s="153">
        <f t="shared" si="42"/>
        <v>0</v>
      </c>
      <c r="AI56" s="146"/>
      <c r="AJ56" s="146"/>
      <c r="AK56" s="146"/>
      <c r="AL56" s="146"/>
      <c r="AM56" s="146"/>
      <c r="AN56" s="146"/>
      <c r="AO56" s="159"/>
    </row>
    <row r="57" spans="1:41" ht="32.25" customHeight="1">
      <c r="A57" s="154" t="s">
        <v>250</v>
      </c>
      <c r="B57" s="153" t="s">
        <v>87</v>
      </c>
      <c r="C57" s="153"/>
      <c r="D57" s="153"/>
      <c r="E57" s="153"/>
      <c r="F57" s="153">
        <f t="shared" si="36"/>
        <v>0</v>
      </c>
      <c r="G57" s="158"/>
      <c r="H57" s="158"/>
      <c r="I57" s="158"/>
      <c r="J57" s="153">
        <f>SUM(G57:I57)/3</f>
        <v>0</v>
      </c>
      <c r="K57" s="158"/>
      <c r="L57" s="158"/>
      <c r="M57" s="158"/>
      <c r="N57" s="153">
        <f t="shared" si="37"/>
        <v>0</v>
      </c>
      <c r="O57" s="158"/>
      <c r="P57" s="158"/>
      <c r="Q57" s="158"/>
      <c r="R57" s="153">
        <f t="shared" si="38"/>
        <v>0</v>
      </c>
      <c r="S57" s="158"/>
      <c r="T57" s="158"/>
      <c r="U57" s="158"/>
      <c r="V57" s="153">
        <f t="shared" si="39"/>
        <v>0</v>
      </c>
      <c r="W57" s="158"/>
      <c r="X57" s="158"/>
      <c r="Y57" s="158"/>
      <c r="Z57" s="153">
        <f t="shared" si="40"/>
        <v>0</v>
      </c>
      <c r="AA57" s="158"/>
      <c r="AB57" s="158"/>
      <c r="AC57" s="158"/>
      <c r="AD57" s="153">
        <f t="shared" si="41"/>
        <v>0</v>
      </c>
      <c r="AE57" s="158"/>
      <c r="AF57" s="158"/>
      <c r="AG57" s="158"/>
      <c r="AH57" s="153">
        <f t="shared" si="42"/>
        <v>0</v>
      </c>
      <c r="AI57" s="146">
        <f>'[1]Приложение 9 СТС'!R56*'[1]Прил. 10.1. Выпадающие до 15'!N25</f>
        <v>3005709</v>
      </c>
      <c r="AJ57" s="146">
        <f>AI57*F57</f>
        <v>0</v>
      </c>
      <c r="AK57" s="146">
        <f>AI57*J57</f>
        <v>0</v>
      </c>
      <c r="AL57" s="146">
        <f>AI57*N57</f>
        <v>0</v>
      </c>
      <c r="AM57" s="146">
        <f>AI57*R57</f>
        <v>0</v>
      </c>
      <c r="AN57" s="146">
        <f>AJ57+AK57+AL57+AM57</f>
        <v>0</v>
      </c>
      <c r="AO57" s="159"/>
    </row>
    <row r="58" spans="1:41" ht="32.25" customHeight="1">
      <c r="A58" s="154" t="s">
        <v>251</v>
      </c>
      <c r="B58" s="153" t="s">
        <v>88</v>
      </c>
      <c r="C58" s="153"/>
      <c r="D58" s="153"/>
      <c r="E58" s="153"/>
      <c r="F58" s="153"/>
      <c r="G58" s="158"/>
      <c r="H58" s="158"/>
      <c r="I58" s="158"/>
      <c r="J58" s="153"/>
      <c r="K58" s="158"/>
      <c r="L58" s="158"/>
      <c r="M58" s="158"/>
      <c r="N58" s="153">
        <f t="shared" si="37"/>
        <v>0</v>
      </c>
      <c r="O58" s="158"/>
      <c r="P58" s="158"/>
      <c r="Q58" s="158"/>
      <c r="R58" s="153">
        <f t="shared" si="38"/>
        <v>0</v>
      </c>
      <c r="S58" s="158">
        <v>0</v>
      </c>
      <c r="T58" s="158"/>
      <c r="U58" s="158"/>
      <c r="V58" s="153"/>
      <c r="W58" s="158"/>
      <c r="X58" s="158"/>
      <c r="Y58" s="158"/>
      <c r="Z58" s="153"/>
      <c r="AA58" s="158"/>
      <c r="AB58" s="158"/>
      <c r="AC58" s="158"/>
      <c r="AD58" s="153">
        <f t="shared" si="41"/>
        <v>0</v>
      </c>
      <c r="AE58" s="158"/>
      <c r="AF58" s="158"/>
      <c r="AG58" s="158"/>
      <c r="AH58" s="153">
        <f t="shared" si="42"/>
        <v>0</v>
      </c>
      <c r="AI58" s="146">
        <f>'[1]Приложение 9 СТС'!R58*'[1]Прил. 10.1. Выпадающие до 15'!N26</f>
        <v>3068203.5999999996</v>
      </c>
      <c r="AJ58" s="146">
        <f>AI58*F58</f>
        <v>0</v>
      </c>
      <c r="AK58" s="146">
        <f>AI58*J58</f>
        <v>0</v>
      </c>
      <c r="AL58" s="146">
        <f>AI58*N58</f>
        <v>0</v>
      </c>
      <c r="AM58" s="146">
        <f>AI58*R58</f>
        <v>0</v>
      </c>
      <c r="AN58" s="146">
        <f>AJ58+AK58+AL58+AM58</f>
        <v>0</v>
      </c>
      <c r="AO58" s="160" t="e">
        <f>AN58/(V58+Z58+AD58+AH58)</f>
        <v>#DIV/0!</v>
      </c>
    </row>
    <row r="59" spans="1:41" ht="30" customHeight="1">
      <c r="A59" s="152">
        <v>3</v>
      </c>
      <c r="B59" s="153" t="s">
        <v>261</v>
      </c>
      <c r="C59" s="153"/>
      <c r="D59" s="153"/>
      <c r="E59" s="153"/>
      <c r="F59" s="153">
        <f t="shared" si="36"/>
        <v>0</v>
      </c>
      <c r="G59" s="153"/>
      <c r="H59" s="153"/>
      <c r="I59" s="153"/>
      <c r="J59" s="153"/>
      <c r="K59" s="153"/>
      <c r="L59" s="153"/>
      <c r="M59" s="153"/>
      <c r="N59" s="153">
        <f t="shared" si="37"/>
        <v>0</v>
      </c>
      <c r="O59" s="153"/>
      <c r="P59" s="153"/>
      <c r="Q59" s="153"/>
      <c r="R59" s="153">
        <f t="shared" si="38"/>
        <v>0</v>
      </c>
      <c r="S59" s="158"/>
      <c r="T59" s="158"/>
      <c r="U59" s="158"/>
      <c r="V59" s="153">
        <f t="shared" si="39"/>
        <v>0</v>
      </c>
      <c r="W59" s="158"/>
      <c r="X59" s="158"/>
      <c r="Y59" s="158"/>
      <c r="Z59" s="153">
        <f t="shared" si="40"/>
        <v>0</v>
      </c>
      <c r="AA59" s="158"/>
      <c r="AB59" s="158"/>
      <c r="AC59" s="158"/>
      <c r="AD59" s="153">
        <f t="shared" si="41"/>
        <v>0</v>
      </c>
      <c r="AE59" s="158"/>
      <c r="AF59" s="158"/>
      <c r="AG59" s="158"/>
      <c r="AH59" s="153">
        <f t="shared" si="42"/>
        <v>0</v>
      </c>
      <c r="AI59" s="146"/>
      <c r="AJ59" s="146"/>
      <c r="AK59" s="146"/>
      <c r="AL59" s="146"/>
      <c r="AM59" s="146"/>
      <c r="AN59" s="146"/>
      <c r="AO59" s="159" t="e">
        <f>AN59/(V59+Z59+AD59+AH59)</f>
        <v>#DIV/0!</v>
      </c>
    </row>
    <row r="60" spans="1:41" ht="117.75" customHeight="1">
      <c r="A60" s="152">
        <v>4</v>
      </c>
      <c r="B60" s="153" t="s">
        <v>253</v>
      </c>
      <c r="C60" s="156" t="s">
        <v>43</v>
      </c>
      <c r="D60" s="156" t="s">
        <v>43</v>
      </c>
      <c r="E60" s="156" t="s">
        <v>43</v>
      </c>
      <c r="F60" s="156" t="s">
        <v>43</v>
      </c>
      <c r="G60" s="156">
        <v>6</v>
      </c>
      <c r="H60" s="156"/>
      <c r="I60" s="161">
        <v>1</v>
      </c>
      <c r="J60" s="153">
        <f>SUM(G60:I60)/COUNTIF(G60:I60,"&gt;0")</f>
        <v>3.5</v>
      </c>
      <c r="K60" s="156" t="s">
        <v>43</v>
      </c>
      <c r="L60" s="156" t="s">
        <v>43</v>
      </c>
      <c r="M60" s="156" t="s">
        <v>43</v>
      </c>
      <c r="N60" s="156" t="s">
        <v>43</v>
      </c>
      <c r="O60" s="156"/>
      <c r="P60" s="162"/>
      <c r="Q60" s="156"/>
      <c r="R60" s="153">
        <f t="shared" si="38"/>
        <v>0</v>
      </c>
      <c r="S60" s="156" t="s">
        <v>43</v>
      </c>
      <c r="T60" s="156" t="s">
        <v>43</v>
      </c>
      <c r="U60" s="156" t="s">
        <v>43</v>
      </c>
      <c r="V60" s="156" t="s">
        <v>43</v>
      </c>
      <c r="W60" s="156">
        <v>1459.6</v>
      </c>
      <c r="X60" s="162"/>
      <c r="Y60" s="161"/>
      <c r="Z60" s="153">
        <f>SUM(W60:Y60)/COUNTIF(W60:Y60,"&gt;0")</f>
        <v>1459.6</v>
      </c>
      <c r="AA60" s="156" t="s">
        <v>43</v>
      </c>
      <c r="AB60" s="156" t="s">
        <v>43</v>
      </c>
      <c r="AC60" s="156" t="s">
        <v>43</v>
      </c>
      <c r="AD60" s="156" t="s">
        <v>43</v>
      </c>
      <c r="AE60" s="156"/>
      <c r="AF60" s="156"/>
      <c r="AG60" s="156"/>
      <c r="AH60" s="153">
        <f t="shared" si="42"/>
        <v>0</v>
      </c>
      <c r="AI60" s="146">
        <f>'[1]Приложение 9 СТС'!R81*'[1]Прил. 10.1. Выпадающие до 15'!N31</f>
        <v>18466.858734592148</v>
      </c>
      <c r="AJ60" s="146"/>
      <c r="AK60" s="146">
        <f>AI60*Z60</f>
        <v>26954227.0090107</v>
      </c>
      <c r="AL60" s="146"/>
      <c r="AM60" s="146">
        <f>AI60*AH60</f>
        <v>0</v>
      </c>
      <c r="AN60" s="146">
        <f>AJ60+AK60+AL60+AM60</f>
        <v>26954227.0090107</v>
      </c>
      <c r="AO60" s="164">
        <f>0.75*AN60/2</f>
        <v>10107835.128379012</v>
      </c>
    </row>
    <row r="61" spans="1:41" ht="102.75" customHeight="1">
      <c r="A61" s="152">
        <v>5</v>
      </c>
      <c r="B61" s="153" t="s">
        <v>265</v>
      </c>
      <c r="C61" s="156" t="s">
        <v>43</v>
      </c>
      <c r="D61" s="156" t="s">
        <v>43</v>
      </c>
      <c r="E61" s="156" t="s">
        <v>43</v>
      </c>
      <c r="F61" s="156" t="s">
        <v>43</v>
      </c>
      <c r="G61" s="156"/>
      <c r="H61" s="156"/>
      <c r="I61" s="156"/>
      <c r="J61" s="153">
        <f>SUM(G61:I61)/3</f>
        <v>0</v>
      </c>
      <c r="K61" s="156" t="s">
        <v>43</v>
      </c>
      <c r="L61" s="156" t="s">
        <v>43</v>
      </c>
      <c r="M61" s="156" t="s">
        <v>43</v>
      </c>
      <c r="N61" s="156" t="s">
        <v>43</v>
      </c>
      <c r="O61" s="156"/>
      <c r="P61" s="156">
        <v>0</v>
      </c>
      <c r="Q61" s="156"/>
      <c r="R61" s="153">
        <f t="shared" si="38"/>
        <v>0</v>
      </c>
      <c r="S61" s="156" t="s">
        <v>43</v>
      </c>
      <c r="T61" s="156" t="s">
        <v>43</v>
      </c>
      <c r="U61" s="156" t="s">
        <v>43</v>
      </c>
      <c r="V61" s="156" t="s">
        <v>43</v>
      </c>
      <c r="W61" s="156"/>
      <c r="X61" s="156"/>
      <c r="Y61" s="156"/>
      <c r="Z61" s="153">
        <f>SUM(W61:Y61)/3</f>
        <v>0</v>
      </c>
      <c r="AA61" s="156" t="s">
        <v>43</v>
      </c>
      <c r="AB61" s="156" t="s">
        <v>43</v>
      </c>
      <c r="AC61" s="156" t="s">
        <v>43</v>
      </c>
      <c r="AD61" s="156" t="s">
        <v>43</v>
      </c>
      <c r="AE61" s="156"/>
      <c r="AF61" s="156"/>
      <c r="AG61" s="156"/>
      <c r="AH61" s="153">
        <f>SUM(AE61:AG61)/3</f>
        <v>0</v>
      </c>
      <c r="AI61" s="146"/>
      <c r="AJ61" s="146"/>
      <c r="AK61" s="146"/>
      <c r="AL61" s="146"/>
      <c r="AM61" s="146"/>
      <c r="AN61" s="146"/>
      <c r="AO61" s="159"/>
    </row>
    <row r="62" spans="1:41" ht="15" customHeight="1">
      <c r="A62" s="471" t="s">
        <v>266</v>
      </c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146"/>
      <c r="AJ62" s="142">
        <f>AJ64+AJ65+AJ67+AJ68+AJ69+AJ70+AJ71</f>
        <v>0</v>
      </c>
      <c r="AK62" s="142">
        <f>AK64+AK65+AK67+AK68+AK69+AK70+AK71</f>
        <v>58724.3943</v>
      </c>
      <c r="AL62" s="142">
        <f>AL64+AL65+AL67+AL68+AL69+AL70+AL71</f>
        <v>0</v>
      </c>
      <c r="AM62" s="142">
        <f>AM64+AM65+AM67+AM68+AM69+AM70+AM71</f>
        <v>1521151.2459000002</v>
      </c>
      <c r="AN62" s="142">
        <f>AN64+AN65+AN67+AN68+AN69+AN70+AN71</f>
        <v>1579875.6402000003</v>
      </c>
      <c r="AO62" s="163">
        <f>AN62+'[1]Таблица 7 .1'!U19</f>
        <v>5718744.465809626</v>
      </c>
    </row>
    <row r="63" spans="1:42" ht="25.5">
      <c r="A63" s="152">
        <v>1</v>
      </c>
      <c r="B63" s="153" t="s">
        <v>245</v>
      </c>
      <c r="C63" s="153">
        <f>C64+C65</f>
        <v>0</v>
      </c>
      <c r="D63" s="153">
        <v>0</v>
      </c>
      <c r="E63" s="153">
        <v>0</v>
      </c>
      <c r="F63" s="153"/>
      <c r="G63" s="153">
        <f>G64+G65</f>
        <v>0</v>
      </c>
      <c r="H63" s="153">
        <f>H64+H65</f>
        <v>0.031</v>
      </c>
      <c r="I63" s="153"/>
      <c r="J63" s="153">
        <f>SUM(G63:I63)/COUNTIF(G63:I63,"&gt;0")</f>
        <v>0.031</v>
      </c>
      <c r="K63" s="153">
        <f>K64+K65</f>
        <v>0</v>
      </c>
      <c r="L63" s="153">
        <f>L64+L65</f>
        <v>0</v>
      </c>
      <c r="M63" s="153">
        <f>M64+M65</f>
        <v>0</v>
      </c>
      <c r="N63" s="153">
        <f aca="true" t="shared" si="43" ref="N63:N69">SUM(K63:M63)/3</f>
        <v>0</v>
      </c>
      <c r="O63" s="153">
        <f>O64+O65</f>
        <v>0</v>
      </c>
      <c r="P63" s="153">
        <f>P64+P65</f>
        <v>0.803</v>
      </c>
      <c r="Q63" s="153">
        <f>Q64+Q65</f>
        <v>0</v>
      </c>
      <c r="R63" s="153">
        <f>SUM(O63:Q63)/COUNTIF(O63:Q63,"&gt;0")</f>
        <v>0.803</v>
      </c>
      <c r="S63" s="153">
        <f>S64+S65</f>
        <v>0</v>
      </c>
      <c r="T63" s="153">
        <f>T64+T65</f>
        <v>0</v>
      </c>
      <c r="U63" s="153">
        <f>U64+U65</f>
        <v>0</v>
      </c>
      <c r="V63" s="153">
        <f>SUM(S63:U63)/3</f>
        <v>0</v>
      </c>
      <c r="W63" s="153">
        <f>W64+W65</f>
        <v>0</v>
      </c>
      <c r="X63" s="153">
        <f>X64+X65</f>
        <v>284.8</v>
      </c>
      <c r="Y63" s="153"/>
      <c r="Z63" s="153">
        <f>SUM(W63:Y63)/COUNTIF(W63:Y63,"&gt;0")</f>
        <v>284.8</v>
      </c>
      <c r="AA63" s="153">
        <f>AA64+AA65</f>
        <v>0</v>
      </c>
      <c r="AB63" s="153">
        <f>AB64+AB65</f>
        <v>0</v>
      </c>
      <c r="AC63" s="153">
        <f>AC64+AC65</f>
        <v>0</v>
      </c>
      <c r="AD63" s="153">
        <f aca="true" t="shared" si="44" ref="AD63:AD68">SUM(AA63:AC63)/3</f>
        <v>0</v>
      </c>
      <c r="AE63" s="153">
        <f>AE64+AE65</f>
        <v>0</v>
      </c>
      <c r="AF63" s="153">
        <f>AF64+AF65</f>
        <v>340.87</v>
      </c>
      <c r="AG63" s="153">
        <f>AG64+AG65</f>
        <v>0</v>
      </c>
      <c r="AH63" s="153">
        <f>SUM(AE63:AG63)/COUNTIF(AE63:AG63,"&gt;0")</f>
        <v>340.87</v>
      </c>
      <c r="AI63" s="146"/>
      <c r="AJ63" s="146"/>
      <c r="AK63" s="146"/>
      <c r="AL63" s="146"/>
      <c r="AM63" s="146"/>
      <c r="AN63" s="146"/>
      <c r="AO63" s="164">
        <f>0.75*AN62/2</f>
        <v>592453.3650750001</v>
      </c>
      <c r="AP63" s="136">
        <v>0.5</v>
      </c>
    </row>
    <row r="64" spans="1:41" ht="25.5">
      <c r="A64" s="154" t="s">
        <v>247</v>
      </c>
      <c r="B64" s="153" t="s">
        <v>85</v>
      </c>
      <c r="C64" s="153"/>
      <c r="D64" s="153"/>
      <c r="E64" s="153"/>
      <c r="F64" s="153">
        <f>SUM(C64:E64)/3</f>
        <v>0</v>
      </c>
      <c r="G64" s="158"/>
      <c r="H64" s="158"/>
      <c r="I64" s="158"/>
      <c r="J64" s="153">
        <f aca="true" t="shared" si="45" ref="J64:J71">SUM(G64:I64)/3</f>
        <v>0</v>
      </c>
      <c r="K64" s="158"/>
      <c r="L64" s="158"/>
      <c r="M64" s="158"/>
      <c r="N64" s="153">
        <f t="shared" si="43"/>
        <v>0</v>
      </c>
      <c r="O64" s="158"/>
      <c r="P64" s="158"/>
      <c r="Q64" s="158"/>
      <c r="R64" s="153">
        <f aca="true" t="shared" si="46" ref="R64:R71">SUM(O64:Q64)/3</f>
        <v>0</v>
      </c>
      <c r="S64" s="158"/>
      <c r="T64" s="158"/>
      <c r="U64" s="158"/>
      <c r="V64" s="153">
        <f>SUM(S64:U64)/3</f>
        <v>0</v>
      </c>
      <c r="W64" s="158"/>
      <c r="X64" s="158"/>
      <c r="Y64" s="158"/>
      <c r="Z64" s="153">
        <f aca="true" t="shared" si="47" ref="Z64:Z69">SUM(W64:Y64)/3</f>
        <v>0</v>
      </c>
      <c r="AA64" s="158"/>
      <c r="AB64" s="158"/>
      <c r="AC64" s="158"/>
      <c r="AD64" s="153">
        <f t="shared" si="44"/>
        <v>0</v>
      </c>
      <c r="AE64" s="158"/>
      <c r="AF64" s="158"/>
      <c r="AG64" s="158"/>
      <c r="AH64" s="153">
        <f aca="true" t="shared" si="48" ref="AH64:AH70">SUM(AE64:AG64)/3</f>
        <v>0</v>
      </c>
      <c r="AI64" s="146">
        <f>'[1]Приложение 9 СТС'!Y38*'[1]Прил. 10.1. Выпадающие до 15'!N18</f>
        <v>0</v>
      </c>
      <c r="AJ64" s="146">
        <f>AI64*F64</f>
        <v>0</v>
      </c>
      <c r="AK64" s="146">
        <f>AI64*J64</f>
        <v>0</v>
      </c>
      <c r="AL64" s="146">
        <f>AI64*N64</f>
        <v>0</v>
      </c>
      <c r="AM64" s="146">
        <f>AI64*R64</f>
        <v>0</v>
      </c>
      <c r="AN64" s="146">
        <f>AJ64+AK64+AL64+AM64</f>
        <v>0</v>
      </c>
      <c r="AO64" s="159"/>
    </row>
    <row r="65" spans="1:41" ht="25.5">
      <c r="A65" s="154" t="s">
        <v>248</v>
      </c>
      <c r="B65" s="153" t="s">
        <v>86</v>
      </c>
      <c r="C65" s="153">
        <v>0</v>
      </c>
      <c r="D65" s="153"/>
      <c r="E65" s="153"/>
      <c r="F65" s="153">
        <f>SUM(C65:E65)/3</f>
        <v>0</v>
      </c>
      <c r="G65" s="158"/>
      <c r="H65" s="158">
        <v>0.031</v>
      </c>
      <c r="I65" s="158"/>
      <c r="J65" s="153">
        <f>SUM(G65:I65)/COUNTIF(G65:I65,"&gt;0")</f>
        <v>0.031</v>
      </c>
      <c r="K65" s="158"/>
      <c r="L65" s="158"/>
      <c r="M65" s="158"/>
      <c r="N65" s="153">
        <f t="shared" si="43"/>
        <v>0</v>
      </c>
      <c r="O65" s="158"/>
      <c r="P65" s="158">
        <v>0.803</v>
      </c>
      <c r="Q65" s="158"/>
      <c r="R65" s="153">
        <f>SUM(O65:Q65)/COUNTIF(O65:Q65,"&gt;0")</f>
        <v>0.803</v>
      </c>
      <c r="S65" s="158"/>
      <c r="T65" s="158"/>
      <c r="U65" s="158"/>
      <c r="V65" s="153">
        <f>SUM(S65:U65)/3</f>
        <v>0</v>
      </c>
      <c r="W65" s="158"/>
      <c r="X65" s="158">
        <v>284.8</v>
      </c>
      <c r="Y65" s="158"/>
      <c r="Z65" s="153">
        <f>SUM(W65:Y65)/COUNTIF(W65:Y65,"&gt;0")</f>
        <v>284.8</v>
      </c>
      <c r="AA65" s="158"/>
      <c r="AB65" s="158"/>
      <c r="AC65" s="158"/>
      <c r="AD65" s="153">
        <f t="shared" si="44"/>
        <v>0</v>
      </c>
      <c r="AE65" s="158"/>
      <c r="AF65" s="158">
        <v>340.87</v>
      </c>
      <c r="AG65" s="158"/>
      <c r="AH65" s="153">
        <f>SUM(AE65:AG65)/COUNTIF(AE65:AG65,"&gt;0")</f>
        <v>340.87</v>
      </c>
      <c r="AI65" s="146">
        <f>'[1]Приложение 9 СТС'!S39*'[1]Прил. 10.1. Выпадающие до 15'!N19</f>
        <v>1894335.3</v>
      </c>
      <c r="AJ65" s="146">
        <f>AI65*F65</f>
        <v>0</v>
      </c>
      <c r="AK65" s="146">
        <f>AI65*J65</f>
        <v>58724.3943</v>
      </c>
      <c r="AL65" s="146">
        <f>AI65*N65</f>
        <v>0</v>
      </c>
      <c r="AM65" s="146">
        <f>AI65*R65</f>
        <v>1521151.2459000002</v>
      </c>
      <c r="AN65" s="146">
        <f>AJ65+AK65+AL65+AM65</f>
        <v>1579875.6402000003</v>
      </c>
      <c r="AO65" s="160">
        <f>AN65/(V65+Z65+AD65+AH65)</f>
        <v>2525.0941234196944</v>
      </c>
    </row>
    <row r="66" spans="1:41" ht="25.5">
      <c r="A66" s="152">
        <v>2</v>
      </c>
      <c r="B66" s="153" t="s">
        <v>249</v>
      </c>
      <c r="C66" s="153">
        <f>C67+C68</f>
        <v>0</v>
      </c>
      <c r="D66" s="153"/>
      <c r="E66" s="153"/>
      <c r="F66" s="153"/>
      <c r="G66" s="153">
        <f>G67+G68</f>
        <v>0</v>
      </c>
      <c r="H66" s="153">
        <f>H67+H68</f>
        <v>0</v>
      </c>
      <c r="I66" s="153"/>
      <c r="J66" s="153">
        <f t="shared" si="45"/>
        <v>0</v>
      </c>
      <c r="K66" s="153">
        <f>K67+K68</f>
        <v>0</v>
      </c>
      <c r="L66" s="153">
        <f>L67+L68</f>
        <v>0</v>
      </c>
      <c r="M66" s="153">
        <f>M67+M68</f>
        <v>0</v>
      </c>
      <c r="N66" s="153">
        <f t="shared" si="43"/>
        <v>0</v>
      </c>
      <c r="O66" s="153">
        <f>O67+O68</f>
        <v>0</v>
      </c>
      <c r="P66" s="153">
        <f>P67+P68</f>
        <v>0</v>
      </c>
      <c r="Q66" s="153">
        <f>Q67+Q68</f>
        <v>0</v>
      </c>
      <c r="R66" s="153">
        <f t="shared" si="46"/>
        <v>0</v>
      </c>
      <c r="S66" s="153">
        <f>S67+S68</f>
        <v>0</v>
      </c>
      <c r="T66" s="153">
        <f>T67+T68</f>
        <v>0</v>
      </c>
      <c r="U66" s="153">
        <f>U67+U68</f>
        <v>0</v>
      </c>
      <c r="V66" s="153"/>
      <c r="W66" s="153">
        <f>W67+W68</f>
        <v>0</v>
      </c>
      <c r="X66" s="153">
        <f>X67+X68</f>
        <v>0</v>
      </c>
      <c r="Y66" s="153"/>
      <c r="Z66" s="153">
        <f t="shared" si="47"/>
        <v>0</v>
      </c>
      <c r="AA66" s="153">
        <f>AA67+AA68</f>
        <v>0</v>
      </c>
      <c r="AB66" s="153">
        <f>AB67+AB68</f>
        <v>0</v>
      </c>
      <c r="AC66" s="153">
        <f>AC67+AC68</f>
        <v>0</v>
      </c>
      <c r="AD66" s="153">
        <f t="shared" si="44"/>
        <v>0</v>
      </c>
      <c r="AE66" s="153">
        <f>AE67+AE68</f>
        <v>0</v>
      </c>
      <c r="AF66" s="153">
        <f>AF67+AF68</f>
        <v>0</v>
      </c>
      <c r="AG66" s="153">
        <f>AG67+AG68</f>
        <v>0</v>
      </c>
      <c r="AH66" s="153">
        <f t="shared" si="48"/>
        <v>0</v>
      </c>
      <c r="AI66" s="146"/>
      <c r="AJ66" s="146"/>
      <c r="AK66" s="146"/>
      <c r="AL66" s="146"/>
      <c r="AM66" s="146"/>
      <c r="AN66" s="146"/>
      <c r="AO66" s="159"/>
    </row>
    <row r="67" spans="1:41" ht="25.5">
      <c r="A67" s="154" t="s">
        <v>250</v>
      </c>
      <c r="B67" s="153" t="s">
        <v>87</v>
      </c>
      <c r="C67" s="153"/>
      <c r="D67" s="153"/>
      <c r="E67" s="153"/>
      <c r="F67" s="153">
        <f>SUM(C67:E67)/3</f>
        <v>0</v>
      </c>
      <c r="G67" s="158"/>
      <c r="H67" s="158"/>
      <c r="I67" s="158"/>
      <c r="J67" s="153">
        <f t="shared" si="45"/>
        <v>0</v>
      </c>
      <c r="K67" s="158"/>
      <c r="L67" s="158"/>
      <c r="M67" s="158"/>
      <c r="N67" s="153">
        <f t="shared" si="43"/>
        <v>0</v>
      </c>
      <c r="O67" s="158"/>
      <c r="P67" s="158"/>
      <c r="Q67" s="158"/>
      <c r="R67" s="153">
        <f t="shared" si="46"/>
        <v>0</v>
      </c>
      <c r="S67" s="158"/>
      <c r="T67" s="158"/>
      <c r="U67" s="158"/>
      <c r="V67" s="153">
        <f>SUM(S67:U67)/3</f>
        <v>0</v>
      </c>
      <c r="W67" s="158"/>
      <c r="X67" s="158"/>
      <c r="Y67" s="158"/>
      <c r="Z67" s="153">
        <f t="shared" si="47"/>
        <v>0</v>
      </c>
      <c r="AA67" s="158"/>
      <c r="AB67" s="158"/>
      <c r="AC67" s="158"/>
      <c r="AD67" s="153">
        <f t="shared" si="44"/>
        <v>0</v>
      </c>
      <c r="AE67" s="158"/>
      <c r="AF67" s="158"/>
      <c r="AG67" s="158"/>
      <c r="AH67" s="153">
        <f t="shared" si="48"/>
        <v>0</v>
      </c>
      <c r="AI67" s="146">
        <f>'[1]Приложение 9 СТС'!Y56*'[1]Прил. 10.1. Выпадающие до 15'!D32</f>
        <v>0</v>
      </c>
      <c r="AJ67" s="146">
        <f>AI67*F67</f>
        <v>0</v>
      </c>
      <c r="AK67" s="146">
        <f>AI67*J67</f>
        <v>0</v>
      </c>
      <c r="AL67" s="146">
        <f>AI67*N67</f>
        <v>0</v>
      </c>
      <c r="AM67" s="146">
        <f>AI67*R67</f>
        <v>0</v>
      </c>
      <c r="AN67" s="146">
        <f>AJ67+AK67+AL67+AM67</f>
        <v>0</v>
      </c>
      <c r="AO67" s="159"/>
    </row>
    <row r="68" spans="1:41" ht="25.5">
      <c r="A68" s="154" t="s">
        <v>251</v>
      </c>
      <c r="B68" s="153" t="s">
        <v>88</v>
      </c>
      <c r="C68" s="153"/>
      <c r="D68" s="153"/>
      <c r="E68" s="153"/>
      <c r="F68" s="153"/>
      <c r="G68" s="158"/>
      <c r="H68" s="158"/>
      <c r="I68" s="158"/>
      <c r="J68" s="153">
        <f t="shared" si="45"/>
        <v>0</v>
      </c>
      <c r="K68" s="158"/>
      <c r="L68" s="158"/>
      <c r="M68" s="158"/>
      <c r="N68" s="153">
        <f t="shared" si="43"/>
        <v>0</v>
      </c>
      <c r="O68" s="158"/>
      <c r="P68" s="158"/>
      <c r="Q68" s="158"/>
      <c r="R68" s="153">
        <f t="shared" si="46"/>
        <v>0</v>
      </c>
      <c r="S68" s="158"/>
      <c r="T68" s="158"/>
      <c r="U68" s="158"/>
      <c r="V68" s="153"/>
      <c r="W68" s="158"/>
      <c r="X68" s="158"/>
      <c r="Y68" s="158"/>
      <c r="Z68" s="153">
        <f t="shared" si="47"/>
        <v>0</v>
      </c>
      <c r="AA68" s="158"/>
      <c r="AB68" s="158"/>
      <c r="AC68" s="158"/>
      <c r="AD68" s="153">
        <f t="shared" si="44"/>
        <v>0</v>
      </c>
      <c r="AE68" s="158"/>
      <c r="AF68" s="158"/>
      <c r="AG68" s="158"/>
      <c r="AH68" s="153">
        <f t="shared" si="48"/>
        <v>0</v>
      </c>
      <c r="AI68" s="146">
        <f>'[1]Приложение 9 СТС'!S58*'[1]Прил. 10.1. Выпадающие до 15'!N26</f>
        <v>4241714.399999999</v>
      </c>
      <c r="AJ68" s="146">
        <f>AI68*F68</f>
        <v>0</v>
      </c>
      <c r="AK68" s="146">
        <f>AI68*J68</f>
        <v>0</v>
      </c>
      <c r="AL68" s="146">
        <f>AI68*N68</f>
        <v>0</v>
      </c>
      <c r="AM68" s="146">
        <f>AI68*R68</f>
        <v>0</v>
      </c>
      <c r="AN68" s="146">
        <f>AJ68+AK68+AL68+AM68</f>
        <v>0</v>
      </c>
      <c r="AO68" s="160" t="e">
        <f>AN68/(V68+Z68+AD68+AH68)</f>
        <v>#DIV/0!</v>
      </c>
    </row>
    <row r="69" spans="1:41" ht="25.5">
      <c r="A69" s="152">
        <v>3</v>
      </c>
      <c r="B69" s="153" t="s">
        <v>261</v>
      </c>
      <c r="C69" s="153"/>
      <c r="D69" s="153"/>
      <c r="E69" s="153"/>
      <c r="F69" s="153">
        <f>SUM(C69:E69)/1</f>
        <v>0</v>
      </c>
      <c r="G69" s="153"/>
      <c r="H69" s="153"/>
      <c r="I69" s="153"/>
      <c r="J69" s="153">
        <f t="shared" si="45"/>
        <v>0</v>
      </c>
      <c r="K69" s="153"/>
      <c r="L69" s="153"/>
      <c r="M69" s="153"/>
      <c r="N69" s="153">
        <f t="shared" si="43"/>
        <v>0</v>
      </c>
      <c r="O69" s="153"/>
      <c r="P69" s="153"/>
      <c r="Q69" s="153"/>
      <c r="R69" s="153">
        <f t="shared" si="46"/>
        <v>0</v>
      </c>
      <c r="S69" s="158"/>
      <c r="T69" s="158"/>
      <c r="U69" s="158"/>
      <c r="V69" s="153"/>
      <c r="W69" s="158"/>
      <c r="X69" s="158"/>
      <c r="Y69" s="158"/>
      <c r="Z69" s="153">
        <f t="shared" si="47"/>
        <v>0</v>
      </c>
      <c r="AA69" s="158"/>
      <c r="AB69" s="158"/>
      <c r="AC69" s="158"/>
      <c r="AD69" s="153"/>
      <c r="AE69" s="158"/>
      <c r="AF69" s="158"/>
      <c r="AG69" s="158"/>
      <c r="AH69" s="153">
        <f t="shared" si="48"/>
        <v>0</v>
      </c>
      <c r="AI69" s="146">
        <f>'[1]Приложение 9 СТС'!R76*'[1]Прил. 10.1. Выпадающие до 15'!N32</f>
        <v>37882.642537882915</v>
      </c>
      <c r="AJ69" s="146">
        <f>AI69*V69</f>
        <v>0</v>
      </c>
      <c r="AK69" s="146">
        <f>AI69*Z69</f>
        <v>0</v>
      </c>
      <c r="AL69" s="146">
        <f>AI69*AD69</f>
        <v>0</v>
      </c>
      <c r="AM69" s="146">
        <f>AI69*AH69</f>
        <v>0</v>
      </c>
      <c r="AN69" s="146">
        <f>AJ69+AK69+AL69+AM69</f>
        <v>0</v>
      </c>
      <c r="AO69" s="159" t="e">
        <f>AN69/(V69+Z69+AD69+AH69)</f>
        <v>#DIV/0!</v>
      </c>
    </row>
    <row r="70" spans="1:43" ht="122.25" customHeight="1">
      <c r="A70" s="152">
        <v>4</v>
      </c>
      <c r="B70" s="153" t="s">
        <v>253</v>
      </c>
      <c r="C70" s="156" t="s">
        <v>43</v>
      </c>
      <c r="D70" s="156" t="s">
        <v>43</v>
      </c>
      <c r="E70" s="156" t="s">
        <v>43</v>
      </c>
      <c r="F70" s="156" t="s">
        <v>43</v>
      </c>
      <c r="G70" s="156"/>
      <c r="H70" s="156">
        <v>2</v>
      </c>
      <c r="I70" s="161"/>
      <c r="J70" s="153">
        <f>SUM(G70:I70)/COUNTIF(G70:I70,"&gt;0")</f>
        <v>2</v>
      </c>
      <c r="K70" s="156" t="s">
        <v>43</v>
      </c>
      <c r="L70" s="156" t="s">
        <v>43</v>
      </c>
      <c r="M70" s="156" t="s">
        <v>43</v>
      </c>
      <c r="N70" s="156" t="s">
        <v>43</v>
      </c>
      <c r="O70" s="161"/>
      <c r="P70" s="161">
        <v>3</v>
      </c>
      <c r="Q70" s="161"/>
      <c r="R70" s="153">
        <f>SUM(O70:Q70)/COUNTIF(O70:Q70,"&gt;0")</f>
        <v>3</v>
      </c>
      <c r="S70" s="165" t="s">
        <v>43</v>
      </c>
      <c r="T70" s="165" t="s">
        <v>43</v>
      </c>
      <c r="U70" s="165" t="s">
        <v>43</v>
      </c>
      <c r="V70" s="165" t="s">
        <v>43</v>
      </c>
      <c r="W70" s="161"/>
      <c r="X70" s="162"/>
      <c r="Y70" s="161"/>
      <c r="Z70" s="153"/>
      <c r="AA70" s="165" t="s">
        <v>43</v>
      </c>
      <c r="AB70" s="165" t="s">
        <v>43</v>
      </c>
      <c r="AC70" s="165" t="s">
        <v>43</v>
      </c>
      <c r="AD70" s="165" t="s">
        <v>43</v>
      </c>
      <c r="AE70" s="161"/>
      <c r="AF70" s="158"/>
      <c r="AG70" s="158"/>
      <c r="AH70" s="153">
        <f t="shared" si="48"/>
        <v>0</v>
      </c>
      <c r="AI70" s="146">
        <f>'[1]Приложение 9 СТС'!R81*'[1]Прил. 10.1. Выпадающие до 15'!N34</f>
        <v>18466.858734592148</v>
      </c>
      <c r="AJ70" s="146"/>
      <c r="AK70" s="146">
        <f>AI70*Z70</f>
        <v>0</v>
      </c>
      <c r="AL70" s="146"/>
      <c r="AM70" s="146">
        <f>AI70*AH70</f>
        <v>0</v>
      </c>
      <c r="AN70" s="146">
        <f>AJ70+AK70+AL70+AM70</f>
        <v>0</v>
      </c>
      <c r="AO70" s="160" t="e">
        <f>AN70/(Z70+AH70)</f>
        <v>#DIV/0!</v>
      </c>
      <c r="AP70" s="166" t="s">
        <v>18</v>
      </c>
      <c r="AQ70" s="167" t="s">
        <v>18</v>
      </c>
    </row>
    <row r="71" spans="1:41" ht="60.75" customHeight="1">
      <c r="A71" s="152">
        <v>5</v>
      </c>
      <c r="B71" s="153" t="s">
        <v>254</v>
      </c>
      <c r="C71" s="156" t="s">
        <v>43</v>
      </c>
      <c r="D71" s="156" t="s">
        <v>43</v>
      </c>
      <c r="E71" s="156" t="s">
        <v>43</v>
      </c>
      <c r="F71" s="156" t="s">
        <v>43</v>
      </c>
      <c r="G71" s="156"/>
      <c r="H71" s="156"/>
      <c r="I71" s="156"/>
      <c r="J71" s="153">
        <f t="shared" si="45"/>
        <v>0</v>
      </c>
      <c r="K71" s="156" t="s">
        <v>43</v>
      </c>
      <c r="L71" s="156" t="s">
        <v>43</v>
      </c>
      <c r="M71" s="156" t="s">
        <v>43</v>
      </c>
      <c r="N71" s="156" t="s">
        <v>43</v>
      </c>
      <c r="O71" s="156"/>
      <c r="P71" s="156"/>
      <c r="Q71" s="156"/>
      <c r="R71" s="153">
        <f t="shared" si="46"/>
        <v>0</v>
      </c>
      <c r="S71" s="156" t="s">
        <v>43</v>
      </c>
      <c r="T71" s="156" t="s">
        <v>43</v>
      </c>
      <c r="U71" s="156" t="s">
        <v>43</v>
      </c>
      <c r="V71" s="156" t="s">
        <v>43</v>
      </c>
      <c r="W71" s="156"/>
      <c r="X71" s="156"/>
      <c r="Y71" s="156"/>
      <c r="Z71" s="153">
        <f>SUM(W71:Y71)/3</f>
        <v>0</v>
      </c>
      <c r="AA71" s="156" t="s">
        <v>43</v>
      </c>
      <c r="AB71" s="156" t="s">
        <v>43</v>
      </c>
      <c r="AC71" s="156" t="s">
        <v>43</v>
      </c>
      <c r="AD71" s="156" t="s">
        <v>43</v>
      </c>
      <c r="AE71" s="156"/>
      <c r="AF71" s="156"/>
      <c r="AG71" s="156"/>
      <c r="AH71" s="153">
        <f>SUM(AE71:AG71)/3</f>
        <v>0</v>
      </c>
      <c r="AI71" s="146"/>
      <c r="AJ71" s="146"/>
      <c r="AK71" s="146"/>
      <c r="AL71" s="146"/>
      <c r="AM71" s="146"/>
      <c r="AN71" s="146"/>
      <c r="AO71" s="159"/>
    </row>
    <row r="72" spans="1:41" ht="15" customHeight="1">
      <c r="A72" s="471" t="s">
        <v>267</v>
      </c>
      <c r="B72" s="471"/>
      <c r="C72" s="471"/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146"/>
      <c r="AJ72" s="142">
        <f>AJ74+AJ75+AJ77+AJ78+AJ79+AJ80+AJ81</f>
        <v>0</v>
      </c>
      <c r="AK72" s="142">
        <f>AK74+AK75+AK77+AK78+AK79+AK80+AK81</f>
        <v>7344482.453</v>
      </c>
      <c r="AL72" s="142">
        <f>AL74+AL75+AL77+AL78+AL79+AL80+AL81</f>
        <v>896937.0695999999</v>
      </c>
      <c r="AM72" s="142">
        <f>AM74+AM75+AM77+AM78+AM79+AM80+AM81</f>
        <v>0</v>
      </c>
      <c r="AN72" s="142">
        <f>AN74+AN75+AN77+AN78+AN79+AN80+AN81</f>
        <v>8241419.5226</v>
      </c>
      <c r="AO72" s="163">
        <f>AN72+'[1]Таблица 7 .1'!T19</f>
        <v>8482605.467939468</v>
      </c>
    </row>
    <row r="73" spans="1:41" ht="29.25" customHeight="1">
      <c r="A73" s="152">
        <v>1</v>
      </c>
      <c r="B73" s="153" t="s">
        <v>245</v>
      </c>
      <c r="C73" s="153">
        <f>C74+C75</f>
        <v>0</v>
      </c>
      <c r="D73" s="153">
        <f>D74+D75</f>
        <v>0</v>
      </c>
      <c r="E73" s="153">
        <f>E74+E75</f>
        <v>0</v>
      </c>
      <c r="F73" s="153">
        <f aca="true" t="shared" si="49" ref="F73:F79">SUM(C73:E73)/3</f>
        <v>0</v>
      </c>
      <c r="G73" s="153"/>
      <c r="H73" s="153">
        <f>H74+H75</f>
        <v>0</v>
      </c>
      <c r="I73" s="153">
        <f>I74+I75</f>
        <v>0</v>
      </c>
      <c r="J73" s="153">
        <f aca="true" t="shared" si="50" ref="J73:J81">SUM(G73:I73)/3</f>
        <v>0</v>
      </c>
      <c r="K73" s="153">
        <f>K74+K75</f>
        <v>0</v>
      </c>
      <c r="L73" s="153">
        <f>L74+L75</f>
        <v>0.382</v>
      </c>
      <c r="M73" s="153"/>
      <c r="N73" s="153">
        <f>SUM(K73:M73)/COUNTIF(K73:M73,"&gt;0")</f>
        <v>0.382</v>
      </c>
      <c r="O73" s="153">
        <f>O74+O75</f>
        <v>0</v>
      </c>
      <c r="P73" s="153">
        <f>P74+P75</f>
        <v>0</v>
      </c>
      <c r="Q73" s="153">
        <f>Q74+Q75</f>
        <v>0</v>
      </c>
      <c r="R73" s="153">
        <f aca="true" t="shared" si="51" ref="R73:R81">SUM(O73:Q73)/3</f>
        <v>0</v>
      </c>
      <c r="S73" s="153">
        <f>S74+S75</f>
        <v>0</v>
      </c>
      <c r="T73" s="153">
        <f>T74+T75</f>
        <v>0</v>
      </c>
      <c r="U73" s="153">
        <f>U74+U75</f>
        <v>0</v>
      </c>
      <c r="V73" s="153">
        <f aca="true" t="shared" si="52" ref="V73:V79">SUM(S73:U73)/3</f>
        <v>0</v>
      </c>
      <c r="W73" s="153">
        <f>W74+W75</f>
        <v>0</v>
      </c>
      <c r="X73" s="153">
        <f>X74+X75</f>
        <v>0</v>
      </c>
      <c r="Y73" s="153">
        <f>Y74+Y75</f>
        <v>0</v>
      </c>
      <c r="Z73" s="153">
        <f aca="true" t="shared" si="53" ref="Z73:Z79">SUM(W73:Y73)/3</f>
        <v>0</v>
      </c>
      <c r="AA73" s="153">
        <f>AA74+AA75</f>
        <v>0</v>
      </c>
      <c r="AB73" s="153">
        <f>AB74+AB75</f>
        <v>0</v>
      </c>
      <c r="AC73" s="153"/>
      <c r="AD73" s="153"/>
      <c r="AE73" s="153">
        <f>AE74+AE75</f>
        <v>0</v>
      </c>
      <c r="AF73" s="153">
        <f>AF74+AF75</f>
        <v>0</v>
      </c>
      <c r="AG73" s="153">
        <f>AG74+AG75</f>
        <v>0</v>
      </c>
      <c r="AH73" s="153">
        <f aca="true" t="shared" si="54" ref="AH73:AH80">SUM(AE73:AG73)/3</f>
        <v>0</v>
      </c>
      <c r="AI73" s="146"/>
      <c r="AJ73" s="146"/>
      <c r="AK73" s="146"/>
      <c r="AL73" s="146"/>
      <c r="AM73" s="146"/>
      <c r="AN73" s="146"/>
      <c r="AO73" s="159"/>
    </row>
    <row r="74" spans="1:41" ht="29.25" customHeight="1">
      <c r="A74" s="154" t="s">
        <v>247</v>
      </c>
      <c r="B74" s="153" t="s">
        <v>85</v>
      </c>
      <c r="C74" s="153"/>
      <c r="D74" s="153"/>
      <c r="E74" s="153"/>
      <c r="F74" s="153">
        <f t="shared" si="49"/>
        <v>0</v>
      </c>
      <c r="G74" s="153"/>
      <c r="H74" s="153"/>
      <c r="I74" s="153"/>
      <c r="J74" s="153">
        <f t="shared" si="50"/>
        <v>0</v>
      </c>
      <c r="K74" s="153"/>
      <c r="L74" s="153"/>
      <c r="M74" s="153"/>
      <c r="N74" s="153">
        <f aca="true" t="shared" si="55" ref="N74:N79">SUM(K74:M74)/3</f>
        <v>0</v>
      </c>
      <c r="O74" s="153"/>
      <c r="P74" s="153"/>
      <c r="Q74" s="153"/>
      <c r="R74" s="153">
        <f t="shared" si="51"/>
        <v>0</v>
      </c>
      <c r="S74" s="153"/>
      <c r="T74" s="153"/>
      <c r="U74" s="153"/>
      <c r="V74" s="153">
        <f t="shared" si="52"/>
        <v>0</v>
      </c>
      <c r="W74" s="153"/>
      <c r="X74" s="153"/>
      <c r="Y74" s="153"/>
      <c r="Z74" s="153">
        <f t="shared" si="53"/>
        <v>0</v>
      </c>
      <c r="AA74" s="153"/>
      <c r="AB74" s="153"/>
      <c r="AC74" s="153"/>
      <c r="AD74" s="153">
        <f aca="true" t="shared" si="56" ref="AD74:AD79">SUM(AA74:AC74)/3</f>
        <v>0</v>
      </c>
      <c r="AE74" s="153"/>
      <c r="AF74" s="153"/>
      <c r="AG74" s="153"/>
      <c r="AH74" s="153">
        <f t="shared" si="54"/>
        <v>0</v>
      </c>
      <c r="AI74" s="146">
        <f>'[1]Приложение 9 СТС'!X41*'[1]Прил. 10.1. Выпадающие до 15'!N18</f>
        <v>0</v>
      </c>
      <c r="AJ74" s="146">
        <f>AI74*F74</f>
        <v>0</v>
      </c>
      <c r="AK74" s="146">
        <f>AI74*J74</f>
        <v>0</v>
      </c>
      <c r="AL74" s="146">
        <f>AI74*N74</f>
        <v>0</v>
      </c>
      <c r="AM74" s="146">
        <f>AI74*R74</f>
        <v>0</v>
      </c>
      <c r="AN74" s="146">
        <f>AJ74+AK74+AL74+AM74</f>
        <v>0</v>
      </c>
      <c r="AO74" s="159"/>
    </row>
    <row r="75" spans="1:41" ht="29.25" customHeight="1">
      <c r="A75" s="154" t="s">
        <v>248</v>
      </c>
      <c r="B75" s="153" t="s">
        <v>86</v>
      </c>
      <c r="C75" s="153"/>
      <c r="D75" s="153">
        <v>0</v>
      </c>
      <c r="E75" s="153"/>
      <c r="F75" s="153">
        <f t="shared" si="49"/>
        <v>0</v>
      </c>
      <c r="G75" s="153"/>
      <c r="H75" s="153"/>
      <c r="I75" s="153">
        <v>0</v>
      </c>
      <c r="J75" s="153">
        <f t="shared" si="50"/>
        <v>0</v>
      </c>
      <c r="K75" s="153"/>
      <c r="L75" s="153">
        <v>0.382</v>
      </c>
      <c r="M75" s="153"/>
      <c r="N75" s="153">
        <f>SUM(K75:M75)/COUNTIF(K75:M75,"&gt;0")</f>
        <v>0.382</v>
      </c>
      <c r="O75" s="153"/>
      <c r="P75" s="153"/>
      <c r="Q75" s="153"/>
      <c r="R75" s="153">
        <f t="shared" si="51"/>
        <v>0</v>
      </c>
      <c r="S75" s="153"/>
      <c r="T75" s="153"/>
      <c r="U75" s="153"/>
      <c r="V75" s="153">
        <f t="shared" si="52"/>
        <v>0</v>
      </c>
      <c r="W75" s="153"/>
      <c r="X75" s="153"/>
      <c r="Y75" s="153"/>
      <c r="Z75" s="153">
        <f t="shared" si="53"/>
        <v>0</v>
      </c>
      <c r="AA75" s="153"/>
      <c r="AB75" s="153"/>
      <c r="AC75" s="153"/>
      <c r="AD75" s="153"/>
      <c r="AE75" s="153"/>
      <c r="AF75" s="153"/>
      <c r="AG75" s="153"/>
      <c r="AH75" s="153">
        <f t="shared" si="54"/>
        <v>0</v>
      </c>
      <c r="AI75" s="146">
        <f>'[1]Приложение 9 СТС'!R42*'[1]Прил. 10.1. Выпадающие до 15'!N19</f>
        <v>2348002.8</v>
      </c>
      <c r="AJ75" s="146">
        <f>AI75*F75</f>
        <v>0</v>
      </c>
      <c r="AK75" s="146">
        <f>AI75*J75</f>
        <v>0</v>
      </c>
      <c r="AL75" s="146">
        <f>AI75*N75</f>
        <v>896937.0695999999</v>
      </c>
      <c r="AM75" s="146">
        <f>AI75*R75</f>
        <v>0</v>
      </c>
      <c r="AN75" s="146">
        <f>AJ75+AK75+AL75+AM75</f>
        <v>896937.0695999999</v>
      </c>
      <c r="AO75" s="160" t="e">
        <f>AN75/(V75+Z75+AD75+AH75)</f>
        <v>#DIV/0!</v>
      </c>
    </row>
    <row r="76" spans="1:41" ht="29.25" customHeight="1">
      <c r="A76" s="152">
        <v>2</v>
      </c>
      <c r="B76" s="153" t="s">
        <v>249</v>
      </c>
      <c r="C76" s="153">
        <f>C77+C78</f>
        <v>0</v>
      </c>
      <c r="D76" s="153">
        <f>D77+D78</f>
        <v>0</v>
      </c>
      <c r="E76" s="153">
        <f>E77+E78</f>
        <v>0</v>
      </c>
      <c r="F76" s="153">
        <f t="shared" si="49"/>
        <v>0</v>
      </c>
      <c r="G76" s="153">
        <f>G77+G78</f>
        <v>1.99</v>
      </c>
      <c r="H76" s="153">
        <f>H77+H78</f>
        <v>0</v>
      </c>
      <c r="I76" s="153">
        <f>I77+I78</f>
        <v>0</v>
      </c>
      <c r="J76" s="153">
        <f>SUM(G76:I76)/COUNTIF(G76:I76,"&gt;0")</f>
        <v>1.99</v>
      </c>
      <c r="K76" s="153">
        <f>K77+K78</f>
        <v>0</v>
      </c>
      <c r="L76" s="153">
        <f>L77+L78</f>
        <v>0</v>
      </c>
      <c r="M76" s="153"/>
      <c r="N76" s="153">
        <f t="shared" si="55"/>
        <v>0</v>
      </c>
      <c r="O76" s="153">
        <f>O77+O78</f>
        <v>0</v>
      </c>
      <c r="P76" s="153">
        <f>P77+P78</f>
        <v>0</v>
      </c>
      <c r="Q76" s="153">
        <f>Q77+Q78</f>
        <v>0</v>
      </c>
      <c r="R76" s="153">
        <f t="shared" si="51"/>
        <v>0</v>
      </c>
      <c r="S76" s="153">
        <f>S77+S78</f>
        <v>0</v>
      </c>
      <c r="T76" s="153">
        <f>T77+T78</f>
        <v>0</v>
      </c>
      <c r="U76" s="153">
        <f>U77+U78</f>
        <v>0</v>
      </c>
      <c r="V76" s="153">
        <f t="shared" si="52"/>
        <v>0</v>
      </c>
      <c r="W76" s="153"/>
      <c r="X76" s="153">
        <f>X77+X78</f>
        <v>0</v>
      </c>
      <c r="Y76" s="153">
        <f>Y77+Y78</f>
        <v>0</v>
      </c>
      <c r="Z76" s="153"/>
      <c r="AA76" s="153">
        <f>AA77+AA78</f>
        <v>0</v>
      </c>
      <c r="AB76" s="153">
        <f>AB77+AB78</f>
        <v>0</v>
      </c>
      <c r="AC76" s="153"/>
      <c r="AD76" s="153">
        <f t="shared" si="56"/>
        <v>0</v>
      </c>
      <c r="AE76" s="153">
        <f>AE77+AE78</f>
        <v>0</v>
      </c>
      <c r="AF76" s="153">
        <f>AF77+AF78</f>
        <v>0</v>
      </c>
      <c r="AG76" s="153">
        <f>AG77+AG78</f>
        <v>0</v>
      </c>
      <c r="AH76" s="153">
        <f t="shared" si="54"/>
        <v>0</v>
      </c>
      <c r="AI76" s="146"/>
      <c r="AJ76" s="146"/>
      <c r="AK76" s="146"/>
      <c r="AL76" s="146"/>
      <c r="AM76" s="146"/>
      <c r="AN76" s="146"/>
      <c r="AO76" s="159"/>
    </row>
    <row r="77" spans="1:41" ht="29.25" customHeight="1">
      <c r="A77" s="154" t="s">
        <v>250</v>
      </c>
      <c r="B77" s="153" t="s">
        <v>87</v>
      </c>
      <c r="C77" s="153"/>
      <c r="D77" s="153"/>
      <c r="E77" s="153"/>
      <c r="F77" s="153">
        <f t="shared" si="49"/>
        <v>0</v>
      </c>
      <c r="G77" s="153"/>
      <c r="H77" s="153"/>
      <c r="I77" s="153"/>
      <c r="J77" s="153">
        <f t="shared" si="50"/>
        <v>0</v>
      </c>
      <c r="K77" s="153"/>
      <c r="L77" s="153"/>
      <c r="M77" s="153"/>
      <c r="N77" s="153">
        <f t="shared" si="55"/>
        <v>0</v>
      </c>
      <c r="O77" s="153"/>
      <c r="P77" s="153"/>
      <c r="Q77" s="153"/>
      <c r="R77" s="153">
        <f t="shared" si="51"/>
        <v>0</v>
      </c>
      <c r="S77" s="153"/>
      <c r="T77" s="153"/>
      <c r="U77" s="153"/>
      <c r="V77" s="153">
        <f t="shared" si="52"/>
        <v>0</v>
      </c>
      <c r="W77" s="153"/>
      <c r="X77" s="153"/>
      <c r="Y77" s="153"/>
      <c r="Z77" s="153">
        <f t="shared" si="53"/>
        <v>0</v>
      </c>
      <c r="AA77" s="153"/>
      <c r="AB77" s="153"/>
      <c r="AC77" s="153"/>
      <c r="AD77" s="153">
        <f t="shared" si="56"/>
        <v>0</v>
      </c>
      <c r="AE77" s="153"/>
      <c r="AF77" s="153"/>
      <c r="AG77" s="153"/>
      <c r="AH77" s="153">
        <f t="shared" si="54"/>
        <v>0</v>
      </c>
      <c r="AI77" s="146">
        <f>'[1]Приложение 9 СТС'!R61*'[1]Прил. 10.1. Выпадающие до 15'!N25</f>
        <v>3878876.4</v>
      </c>
      <c r="AJ77" s="146">
        <f>AI77*F77</f>
        <v>0</v>
      </c>
      <c r="AK77" s="146">
        <f>AI77*J77</f>
        <v>0</v>
      </c>
      <c r="AL77" s="146">
        <f>AI77*N77</f>
        <v>0</v>
      </c>
      <c r="AM77" s="146">
        <f>AI77*R77</f>
        <v>0</v>
      </c>
      <c r="AN77" s="146">
        <f>AJ77+AK77+AL77+AM77</f>
        <v>0</v>
      </c>
      <c r="AO77" s="159"/>
    </row>
    <row r="78" spans="1:41" ht="29.25" customHeight="1">
      <c r="A78" s="154" t="s">
        <v>251</v>
      </c>
      <c r="B78" s="153" t="s">
        <v>88</v>
      </c>
      <c r="C78" s="153"/>
      <c r="D78" s="153"/>
      <c r="E78" s="153"/>
      <c r="F78" s="153">
        <f t="shared" si="49"/>
        <v>0</v>
      </c>
      <c r="G78" s="153">
        <v>1.99</v>
      </c>
      <c r="H78" s="153"/>
      <c r="I78" s="153"/>
      <c r="J78" s="153">
        <f>SUM(G78:I78)/COUNTIF(G78:I78,"&gt;0")</f>
        <v>1.99</v>
      </c>
      <c r="K78" s="153"/>
      <c r="L78" s="153"/>
      <c r="M78" s="153"/>
      <c r="N78" s="153">
        <f t="shared" si="55"/>
        <v>0</v>
      </c>
      <c r="O78" s="153"/>
      <c r="P78" s="153"/>
      <c r="Q78" s="153"/>
      <c r="R78" s="153">
        <f t="shared" si="51"/>
        <v>0</v>
      </c>
      <c r="S78" s="153"/>
      <c r="T78" s="153"/>
      <c r="U78" s="153"/>
      <c r="V78" s="153">
        <f t="shared" si="52"/>
        <v>0</v>
      </c>
      <c r="W78" s="153"/>
      <c r="X78" s="153"/>
      <c r="Y78" s="153"/>
      <c r="Z78" s="153"/>
      <c r="AA78" s="153"/>
      <c r="AB78" s="153"/>
      <c r="AC78" s="153"/>
      <c r="AD78" s="153">
        <f t="shared" si="56"/>
        <v>0</v>
      </c>
      <c r="AE78" s="153"/>
      <c r="AF78" s="153"/>
      <c r="AG78" s="153"/>
      <c r="AH78" s="153">
        <f t="shared" si="54"/>
        <v>0</v>
      </c>
      <c r="AI78" s="146">
        <f>'[1]Приложение 9 СТС'!R63*'[1]Прил. 10.1. Выпадающие до 15'!N26</f>
        <v>3690694.6999999997</v>
      </c>
      <c r="AJ78" s="146">
        <f>AI78*F78</f>
        <v>0</v>
      </c>
      <c r="AK78" s="146">
        <f>AI78*J78</f>
        <v>7344482.453</v>
      </c>
      <c r="AL78" s="146">
        <f>AI78*N78</f>
        <v>0</v>
      </c>
      <c r="AM78" s="146">
        <f>AI78*R78</f>
        <v>0</v>
      </c>
      <c r="AN78" s="146">
        <f>AJ78+AK78+AL78+AM78</f>
        <v>7344482.453</v>
      </c>
      <c r="AO78" s="160" t="e">
        <f>AN78/(V78+Z78+AD78+AH78)</f>
        <v>#DIV/0!</v>
      </c>
    </row>
    <row r="79" spans="1:41" ht="33" customHeight="1">
      <c r="A79" s="152">
        <v>3</v>
      </c>
      <c r="B79" s="153" t="s">
        <v>261</v>
      </c>
      <c r="C79" s="153"/>
      <c r="D79" s="153"/>
      <c r="E79" s="153"/>
      <c r="F79" s="153">
        <f t="shared" si="49"/>
        <v>0</v>
      </c>
      <c r="G79" s="153"/>
      <c r="H79" s="153"/>
      <c r="I79" s="153"/>
      <c r="J79" s="153">
        <f t="shared" si="50"/>
        <v>0</v>
      </c>
      <c r="K79" s="153"/>
      <c r="L79" s="153"/>
      <c r="M79" s="153"/>
      <c r="N79" s="153">
        <f t="shared" si="55"/>
        <v>0</v>
      </c>
      <c r="O79" s="153"/>
      <c r="P79" s="153"/>
      <c r="Q79" s="153"/>
      <c r="R79" s="153">
        <f t="shared" si="51"/>
        <v>0</v>
      </c>
      <c r="S79" s="153"/>
      <c r="T79" s="153"/>
      <c r="U79" s="153"/>
      <c r="V79" s="153">
        <f t="shared" si="52"/>
        <v>0</v>
      </c>
      <c r="W79" s="153"/>
      <c r="X79" s="153"/>
      <c r="Y79" s="153"/>
      <c r="Z79" s="153">
        <f t="shared" si="53"/>
        <v>0</v>
      </c>
      <c r="AA79" s="153"/>
      <c r="AB79" s="153"/>
      <c r="AC79" s="153"/>
      <c r="AD79" s="153">
        <f t="shared" si="56"/>
        <v>0</v>
      </c>
      <c r="AE79" s="153"/>
      <c r="AF79" s="153"/>
      <c r="AG79" s="153"/>
      <c r="AH79" s="153">
        <f t="shared" si="54"/>
        <v>0</v>
      </c>
      <c r="AI79" s="146"/>
      <c r="AJ79" s="146"/>
      <c r="AK79" s="146"/>
      <c r="AL79" s="146"/>
      <c r="AM79" s="146"/>
      <c r="AN79" s="146"/>
      <c r="AO79" s="159" t="e">
        <f>AN79/(V79+Z79+AD79+AH79)</f>
        <v>#DIV/0!</v>
      </c>
    </row>
    <row r="80" spans="1:41" ht="111.75" customHeight="1">
      <c r="A80" s="152">
        <v>4</v>
      </c>
      <c r="B80" s="153" t="s">
        <v>253</v>
      </c>
      <c r="C80" s="156" t="s">
        <v>43</v>
      </c>
      <c r="D80" s="156" t="s">
        <v>43</v>
      </c>
      <c r="E80" s="156" t="s">
        <v>43</v>
      </c>
      <c r="F80" s="156" t="s">
        <v>43</v>
      </c>
      <c r="G80" s="156">
        <v>3</v>
      </c>
      <c r="H80" s="156"/>
      <c r="I80" s="156"/>
      <c r="J80" s="153">
        <f>SUM(G80:I80)/1</f>
        <v>3</v>
      </c>
      <c r="K80" s="156" t="s">
        <v>43</v>
      </c>
      <c r="L80" s="156" t="s">
        <v>43</v>
      </c>
      <c r="M80" s="156" t="s">
        <v>43</v>
      </c>
      <c r="N80" s="156" t="s">
        <v>43</v>
      </c>
      <c r="O80" s="156"/>
      <c r="P80" s="156"/>
      <c r="Q80" s="156"/>
      <c r="R80" s="153">
        <f t="shared" si="51"/>
        <v>0</v>
      </c>
      <c r="S80" s="156" t="s">
        <v>43</v>
      </c>
      <c r="T80" s="156" t="s">
        <v>43</v>
      </c>
      <c r="U80" s="156" t="s">
        <v>43</v>
      </c>
      <c r="V80" s="156" t="s">
        <v>43</v>
      </c>
      <c r="W80" s="156"/>
      <c r="X80" s="156"/>
      <c r="Y80" s="156"/>
      <c r="Z80" s="153"/>
      <c r="AA80" s="156" t="s">
        <v>43</v>
      </c>
      <c r="AB80" s="156" t="s">
        <v>43</v>
      </c>
      <c r="AC80" s="156" t="s">
        <v>43</v>
      </c>
      <c r="AD80" s="156" t="s">
        <v>43</v>
      </c>
      <c r="AE80" s="156"/>
      <c r="AF80" s="156"/>
      <c r="AG80" s="156"/>
      <c r="AH80" s="153">
        <f t="shared" si="54"/>
        <v>0</v>
      </c>
      <c r="AI80" s="146">
        <f>'[1]Приложение 9 СТС'!R82*'[1]Прил. 10.1. Выпадающие до 15'!N31</f>
        <v>16125.528991953233</v>
      </c>
      <c r="AJ80" s="146"/>
      <c r="AK80" s="146"/>
      <c r="AL80" s="146"/>
      <c r="AM80" s="146">
        <f>AI80*AH80</f>
        <v>0</v>
      </c>
      <c r="AN80" s="146">
        <f>AJ80+AK80+AL80+AM80</f>
        <v>0</v>
      </c>
      <c r="AO80" s="160" t="e">
        <f>AN80/(Z80+AH80)</f>
        <v>#DIV/0!</v>
      </c>
    </row>
    <row r="81" spans="1:41" ht="68.25" customHeight="1">
      <c r="A81" s="152">
        <v>5</v>
      </c>
      <c r="B81" s="153" t="s">
        <v>254</v>
      </c>
      <c r="C81" s="156" t="s">
        <v>43</v>
      </c>
      <c r="D81" s="156" t="s">
        <v>43</v>
      </c>
      <c r="E81" s="156" t="s">
        <v>43</v>
      </c>
      <c r="F81" s="156" t="s">
        <v>43</v>
      </c>
      <c r="G81" s="156"/>
      <c r="H81" s="156"/>
      <c r="I81" s="156"/>
      <c r="J81" s="153">
        <f t="shared" si="50"/>
        <v>0</v>
      </c>
      <c r="K81" s="156" t="s">
        <v>43</v>
      </c>
      <c r="L81" s="156" t="s">
        <v>43</v>
      </c>
      <c r="M81" s="156" t="s">
        <v>43</v>
      </c>
      <c r="N81" s="156" t="s">
        <v>43</v>
      </c>
      <c r="O81" s="156"/>
      <c r="P81" s="156"/>
      <c r="Q81" s="156"/>
      <c r="R81" s="153">
        <f t="shared" si="51"/>
        <v>0</v>
      </c>
      <c r="S81" s="156" t="s">
        <v>43</v>
      </c>
      <c r="T81" s="156" t="s">
        <v>43</v>
      </c>
      <c r="U81" s="156" t="s">
        <v>43</v>
      </c>
      <c r="V81" s="156" t="s">
        <v>43</v>
      </c>
      <c r="W81" s="156"/>
      <c r="X81" s="156"/>
      <c r="Y81" s="156"/>
      <c r="Z81" s="153">
        <f>SUM(W81:Y81)/3</f>
        <v>0</v>
      </c>
      <c r="AA81" s="156" t="s">
        <v>43</v>
      </c>
      <c r="AB81" s="156" t="s">
        <v>43</v>
      </c>
      <c r="AC81" s="156" t="s">
        <v>43</v>
      </c>
      <c r="AD81" s="156" t="s">
        <v>43</v>
      </c>
      <c r="AE81" s="156"/>
      <c r="AF81" s="156"/>
      <c r="AG81" s="156"/>
      <c r="AH81" s="153">
        <f>SUM(AE81:AG81)/3</f>
        <v>0</v>
      </c>
      <c r="AI81" s="146"/>
      <c r="AJ81" s="146"/>
      <c r="AK81" s="146"/>
      <c r="AL81" s="146"/>
      <c r="AM81" s="146"/>
      <c r="AN81" s="146"/>
      <c r="AO81" s="159"/>
    </row>
    <row r="82" spans="1:41" ht="15" customHeight="1">
      <c r="A82" s="471" t="s">
        <v>268</v>
      </c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146"/>
      <c r="AJ82" s="142">
        <f>AJ84+AJ85+AJ87+AJ88+AJ89+AJ90+AJ91</f>
        <v>1688526.4109999998</v>
      </c>
      <c r="AK82" s="142">
        <f>AK84+AK85+AK87+AK88+AK89+AK90+AK91</f>
        <v>84802866.91210109</v>
      </c>
      <c r="AL82" s="142">
        <f>AL84+AL85+AL87+AL88+AL89+AL90+AL91</f>
        <v>7353999.749160694</v>
      </c>
      <c r="AM82" s="142">
        <f>AM84+AM85+AM87+AM88+AM89+AM90+AM91</f>
        <v>12216213.76614559</v>
      </c>
      <c r="AN82" s="142">
        <f>AN84+AN85+AN87+AN88+AN89+AN90+AN91</f>
        <v>106061606.83840737</v>
      </c>
      <c r="AO82" s="163">
        <f>AN82+'[1]Таблица 7 .1'!V19</f>
        <v>108837714.21944784</v>
      </c>
    </row>
    <row r="83" spans="1:41" ht="25.5">
      <c r="A83" s="152">
        <v>1</v>
      </c>
      <c r="B83" s="153" t="s">
        <v>245</v>
      </c>
      <c r="C83" s="153">
        <f aca="true" t="shared" si="57" ref="C83:H83">C84+C85</f>
        <v>0</v>
      </c>
      <c r="D83" s="153">
        <f t="shared" si="57"/>
        <v>0.697</v>
      </c>
      <c r="E83" s="153">
        <f t="shared" si="57"/>
        <v>0</v>
      </c>
      <c r="F83" s="153">
        <f t="shared" si="57"/>
        <v>0.697</v>
      </c>
      <c r="G83" s="153">
        <f t="shared" si="57"/>
        <v>7.773</v>
      </c>
      <c r="H83" s="153">
        <f t="shared" si="57"/>
        <v>4.076</v>
      </c>
      <c r="I83" s="153"/>
      <c r="J83" s="153">
        <f>SUM(G83:I83)/COUNTIF(G83:I83,"&gt;0")</f>
        <v>5.9245</v>
      </c>
      <c r="K83" s="153">
        <f>K84+K85</f>
        <v>1.776</v>
      </c>
      <c r="L83" s="153">
        <f>L84+L85</f>
        <v>0.79</v>
      </c>
      <c r="M83" s="153">
        <f>M84+M85</f>
        <v>2.393</v>
      </c>
      <c r="N83" s="153">
        <f>SUM(K83:M83)/COUNTIF(K83:M83,"&gt;0")</f>
        <v>1.6529999999999998</v>
      </c>
      <c r="O83" s="153">
        <f>O84+O85</f>
        <v>0</v>
      </c>
      <c r="P83" s="153">
        <f>P84+P85</f>
        <v>2.379</v>
      </c>
      <c r="Q83" s="153">
        <f>Q84+Q85</f>
        <v>1.377</v>
      </c>
      <c r="R83" s="153">
        <f>SUM(O83:Q83)/COUNTIF(O83:Q83,"&gt;0")</f>
        <v>1.8780000000000001</v>
      </c>
      <c r="S83" s="153"/>
      <c r="T83" s="153">
        <f>T84+T85</f>
        <v>0</v>
      </c>
      <c r="U83" s="153"/>
      <c r="V83" s="153">
        <v>0</v>
      </c>
      <c r="W83" s="153">
        <f>W84+W85</f>
        <v>2095.6</v>
      </c>
      <c r="X83" s="153">
        <f>X84+X85</f>
        <v>2180.5</v>
      </c>
      <c r="Y83" s="153"/>
      <c r="Z83" s="153">
        <f>SUM(W83:Y83)/COUNTIF(W83:Y83,"&gt;0")</f>
        <v>2138.05</v>
      </c>
      <c r="AA83" s="153">
        <f>AA84+AA85</f>
        <v>1076</v>
      </c>
      <c r="AB83" s="153"/>
      <c r="AC83" s="153"/>
      <c r="AD83" s="153">
        <f>SUM(AA83:AC83)/COUNTIF(AA83:AC83,"&gt;0")</f>
        <v>1076</v>
      </c>
      <c r="AE83" s="153">
        <f>AE84+AE85</f>
        <v>0</v>
      </c>
      <c r="AF83" s="153">
        <f>AF84+AF85</f>
        <v>712</v>
      </c>
      <c r="AG83" s="153">
        <f>AG84+AG85</f>
        <v>1068</v>
      </c>
      <c r="AH83" s="153">
        <f>SUM(AE83:AG83)/COUNTIF(AE83:AG83,"&gt;0")</f>
        <v>890</v>
      </c>
      <c r="AI83" s="146"/>
      <c r="AJ83" s="146"/>
      <c r="AK83" s="146"/>
      <c r="AL83" s="146"/>
      <c r="AM83" s="146"/>
      <c r="AN83" s="146"/>
      <c r="AO83" s="159"/>
    </row>
    <row r="84" spans="1:41" ht="25.5">
      <c r="A84" s="154" t="s">
        <v>247</v>
      </c>
      <c r="B84" s="153" t="s">
        <v>85</v>
      </c>
      <c r="C84" s="153"/>
      <c r="D84" s="153"/>
      <c r="E84" s="153"/>
      <c r="F84" s="153">
        <f aca="true" t="shared" si="58" ref="F84:F89">SUM(C84:E84)/3</f>
        <v>0</v>
      </c>
      <c r="G84" s="153"/>
      <c r="H84" s="153"/>
      <c r="I84" s="153"/>
      <c r="J84" s="153">
        <f aca="true" t="shared" si="59" ref="J84:J91">SUM(G84:I84)/3</f>
        <v>0</v>
      </c>
      <c r="K84" s="153"/>
      <c r="L84" s="153"/>
      <c r="M84" s="153"/>
      <c r="N84" s="153">
        <f>SUM(K84:M84)/3</f>
        <v>0</v>
      </c>
      <c r="O84" s="153"/>
      <c r="P84" s="153"/>
      <c r="Q84" s="153"/>
      <c r="R84" s="153">
        <f aca="true" t="shared" si="60" ref="R84:R91">SUM(O84:Q84)/3</f>
        <v>0</v>
      </c>
      <c r="S84" s="153"/>
      <c r="T84" s="153"/>
      <c r="U84" s="153"/>
      <c r="V84" s="153">
        <f aca="true" t="shared" si="61" ref="V84:V89">SUM(S84:U84)/3</f>
        <v>0</v>
      </c>
      <c r="W84" s="153"/>
      <c r="X84" s="153"/>
      <c r="Y84" s="153"/>
      <c r="Z84" s="153">
        <f>SUM(W84:Y84)/3</f>
        <v>0</v>
      </c>
      <c r="AA84" s="153"/>
      <c r="AB84" s="153"/>
      <c r="AC84" s="153"/>
      <c r="AD84" s="153">
        <f>SUM(AA84:AC84)/3</f>
        <v>0</v>
      </c>
      <c r="AE84" s="153"/>
      <c r="AF84" s="153"/>
      <c r="AG84" s="153"/>
      <c r="AH84" s="153">
        <f aca="true" t="shared" si="62" ref="AH84:AH90">SUM(AE84:AG84)/3</f>
        <v>0</v>
      </c>
      <c r="AI84" s="146">
        <f>'[1]Приложение 9 СТС'!Y41*'[1]Прил. 10.1. Выпадающие до 15'!N18</f>
        <v>0</v>
      </c>
      <c r="AJ84" s="146">
        <f>AI84*F84</f>
        <v>0</v>
      </c>
      <c r="AK84" s="146">
        <f>AI84*J84</f>
        <v>0</v>
      </c>
      <c r="AL84" s="146">
        <f>AI84*N84</f>
        <v>0</v>
      </c>
      <c r="AM84" s="146">
        <f>AI84*R84</f>
        <v>0</v>
      </c>
      <c r="AN84" s="146">
        <f>AJ84+AK84+AL84+AM84</f>
        <v>0</v>
      </c>
      <c r="AO84" s="159"/>
    </row>
    <row r="85" spans="1:41" ht="25.5">
      <c r="A85" s="154" t="s">
        <v>248</v>
      </c>
      <c r="B85" s="153" t="s">
        <v>86</v>
      </c>
      <c r="C85" s="153">
        <v>0</v>
      </c>
      <c r="D85" s="203">
        <v>0.697</v>
      </c>
      <c r="E85" s="153"/>
      <c r="F85" s="153">
        <f>SUM(C85:E85)/COUNTIF(C85:E85,"&gt;0")</f>
        <v>0.697</v>
      </c>
      <c r="G85" s="153">
        <v>7.773</v>
      </c>
      <c r="H85" s="203">
        <v>4.076</v>
      </c>
      <c r="I85" s="153"/>
      <c r="J85" s="153">
        <f>SUM(G85:I85)/COUNTIF(G85:I85,"&gt;0")</f>
        <v>5.9245</v>
      </c>
      <c r="K85" s="153">
        <v>1.776</v>
      </c>
      <c r="L85" s="203">
        <v>0.79</v>
      </c>
      <c r="M85" s="153">
        <v>2.393</v>
      </c>
      <c r="N85" s="153">
        <f>SUM(K85:M85)/COUNTIF(K85:M85,"&gt;0")</f>
        <v>1.6529999999999998</v>
      </c>
      <c r="O85" s="153"/>
      <c r="P85" s="203">
        <v>2.379</v>
      </c>
      <c r="Q85" s="153">
        <v>1.377</v>
      </c>
      <c r="R85" s="153">
        <f>SUM(O85:Q85)/COUNTIF(O85:Q85,"&gt;0")</f>
        <v>1.8780000000000001</v>
      </c>
      <c r="S85" s="153"/>
      <c r="T85" s="153"/>
      <c r="U85" s="153"/>
      <c r="V85" s="153">
        <v>0</v>
      </c>
      <c r="W85" s="153">
        <v>2095.6</v>
      </c>
      <c r="X85" s="203">
        <v>2180.5</v>
      </c>
      <c r="Y85" s="153"/>
      <c r="Z85" s="153">
        <f>SUM(W85:Y85)/COUNTIF(W85:Y85,"&gt;0")</f>
        <v>2138.05</v>
      </c>
      <c r="AA85" s="153">
        <v>1076</v>
      </c>
      <c r="AB85" s="153"/>
      <c r="AC85" s="153"/>
      <c r="AD85" s="153">
        <f>SUM(AA85:AC85)/COUNTIF(AA85:AC85,"&gt;0")</f>
        <v>1076</v>
      </c>
      <c r="AE85" s="153"/>
      <c r="AF85" s="203">
        <v>712</v>
      </c>
      <c r="AG85" s="153">
        <v>1068</v>
      </c>
      <c r="AH85" s="153">
        <f>SUM(AE85:AG85)/COUNTIF(AE85:AG85,"&gt;0")</f>
        <v>890</v>
      </c>
      <c r="AI85" s="146">
        <f>'[1]Приложение 9 СТС'!S42*'[1]Прил. 10.1. Выпадающие до 15'!N19</f>
        <v>2422563</v>
      </c>
      <c r="AJ85" s="146">
        <f>AI85*F85</f>
        <v>1688526.4109999998</v>
      </c>
      <c r="AK85" s="146">
        <f>AI85*J85</f>
        <v>14352474.4935</v>
      </c>
      <c r="AL85" s="146">
        <f>AI85*N85</f>
        <v>4004496.6389999995</v>
      </c>
      <c r="AM85" s="146">
        <f>AI85*R85</f>
        <v>4549573.314</v>
      </c>
      <c r="AN85" s="146">
        <f>AJ85+AK85+AL85+AM85</f>
        <v>24595070.857499998</v>
      </c>
      <c r="AO85" s="160">
        <f>AN85/(V85+Z85+AD85+AH85)</f>
        <v>5992.877976023683</v>
      </c>
    </row>
    <row r="86" spans="1:41" ht="25.5">
      <c r="A86" s="152">
        <v>2</v>
      </c>
      <c r="B86" s="153" t="s">
        <v>249</v>
      </c>
      <c r="C86" s="153">
        <f>C87+C88</f>
        <v>0</v>
      </c>
      <c r="D86" s="153"/>
      <c r="E86" s="153"/>
      <c r="F86" s="153"/>
      <c r="G86" s="153">
        <f>G87+G88</f>
        <v>0</v>
      </c>
      <c r="H86" s="153">
        <f>H87+H88</f>
        <v>0.986</v>
      </c>
      <c r="I86" s="153"/>
      <c r="J86" s="153">
        <f>SUM(G86:I86)/COUNTIF(G86:I86,"&gt;0")</f>
        <v>0.986</v>
      </c>
      <c r="K86" s="153">
        <f>K87+K88</f>
        <v>0</v>
      </c>
      <c r="L86" s="153"/>
      <c r="M86" s="153">
        <f>M87+M88</f>
        <v>0</v>
      </c>
      <c r="N86" s="153">
        <f>SUM(K86:M86)/3</f>
        <v>0</v>
      </c>
      <c r="O86" s="153">
        <f>O87+O88</f>
        <v>0</v>
      </c>
      <c r="P86" s="153">
        <f>P87+P88</f>
        <v>0</v>
      </c>
      <c r="Q86" s="153">
        <f>Q87+Q88</f>
        <v>0</v>
      </c>
      <c r="R86" s="153">
        <f t="shared" si="60"/>
        <v>0</v>
      </c>
      <c r="S86" s="153"/>
      <c r="T86" s="153">
        <f>T87+T88</f>
        <v>0</v>
      </c>
      <c r="U86" s="153"/>
      <c r="V86" s="153">
        <v>0</v>
      </c>
      <c r="W86" s="153">
        <f>W87+W88</f>
        <v>0</v>
      </c>
      <c r="X86" s="153"/>
      <c r="Y86" s="153"/>
      <c r="Z86" s="153">
        <f>SUM(W86:Y86)/3</f>
        <v>0</v>
      </c>
      <c r="AA86" s="153">
        <f>AA87+AA88</f>
        <v>0</v>
      </c>
      <c r="AB86" s="153"/>
      <c r="AC86" s="153"/>
      <c r="AD86" s="153">
        <f>SUM(AA86:AC86)/3</f>
        <v>0</v>
      </c>
      <c r="AE86" s="153">
        <f>AE87+AE88</f>
        <v>0</v>
      </c>
      <c r="AF86" s="153">
        <f>AF87+AF88</f>
        <v>0</v>
      </c>
      <c r="AG86" s="153">
        <f>AG87+AG88</f>
        <v>0</v>
      </c>
      <c r="AH86" s="153">
        <f t="shared" si="62"/>
        <v>0</v>
      </c>
      <c r="AI86" s="146"/>
      <c r="AJ86" s="146"/>
      <c r="AK86" s="146"/>
      <c r="AL86" s="146"/>
      <c r="AM86" s="146"/>
      <c r="AN86" s="146"/>
      <c r="AO86" s="159"/>
    </row>
    <row r="87" spans="1:41" ht="25.5">
      <c r="A87" s="154" t="s">
        <v>250</v>
      </c>
      <c r="B87" s="153" t="s">
        <v>87</v>
      </c>
      <c r="C87" s="153"/>
      <c r="D87" s="153"/>
      <c r="E87" s="153"/>
      <c r="F87" s="153">
        <f t="shared" si="58"/>
        <v>0</v>
      </c>
      <c r="G87" s="153"/>
      <c r="H87" s="153"/>
      <c r="I87" s="153"/>
      <c r="J87" s="153">
        <f t="shared" si="59"/>
        <v>0</v>
      </c>
      <c r="K87" s="153"/>
      <c r="L87" s="153"/>
      <c r="M87" s="153"/>
      <c r="N87" s="153">
        <f>SUM(K87:M87)/3</f>
        <v>0</v>
      </c>
      <c r="O87" s="153"/>
      <c r="P87" s="153"/>
      <c r="Q87" s="153"/>
      <c r="R87" s="153">
        <f t="shared" si="60"/>
        <v>0</v>
      </c>
      <c r="S87" s="153"/>
      <c r="T87" s="153"/>
      <c r="U87" s="153"/>
      <c r="V87" s="153">
        <f t="shared" si="61"/>
        <v>0</v>
      </c>
      <c r="W87" s="153"/>
      <c r="X87" s="153"/>
      <c r="Y87" s="153"/>
      <c r="Z87" s="153">
        <f>SUM(W87:Y87)/3</f>
        <v>0</v>
      </c>
      <c r="AA87" s="153"/>
      <c r="AB87" s="153"/>
      <c r="AC87" s="153"/>
      <c r="AD87" s="153">
        <f>SUM(AA87:AC87)/3</f>
        <v>0</v>
      </c>
      <c r="AE87" s="153"/>
      <c r="AF87" s="153"/>
      <c r="AG87" s="153"/>
      <c r="AH87" s="153">
        <f t="shared" si="62"/>
        <v>0</v>
      </c>
      <c r="AI87" s="146">
        <f>'[1]Приложение 9 СТС'!S61*'[1]Прил. 10.1. Выпадающие до 15'!N25</f>
        <v>5383131.6</v>
      </c>
      <c r="AJ87" s="146">
        <f>AI87*F87</f>
        <v>0</v>
      </c>
      <c r="AK87" s="146">
        <f>AI87*J87</f>
        <v>0</v>
      </c>
      <c r="AL87" s="146">
        <f>AI87*N87</f>
        <v>0</v>
      </c>
      <c r="AM87" s="146">
        <f>AI87*R87</f>
        <v>0</v>
      </c>
      <c r="AN87" s="146">
        <f>AJ87+AK87+AL87+AM87</f>
        <v>0</v>
      </c>
      <c r="AO87" s="159"/>
    </row>
    <row r="88" spans="1:41" ht="25.5">
      <c r="A88" s="154" t="s">
        <v>251</v>
      </c>
      <c r="B88" s="153" t="s">
        <v>88</v>
      </c>
      <c r="C88" s="153"/>
      <c r="D88" s="153"/>
      <c r="E88" s="153"/>
      <c r="F88" s="153"/>
      <c r="G88" s="153"/>
      <c r="H88" s="203">
        <v>0.986</v>
      </c>
      <c r="I88" s="153"/>
      <c r="J88" s="153">
        <f>SUM(G88:I88)/COUNTIF(G88:I88,"&gt;0")</f>
        <v>0.986</v>
      </c>
      <c r="K88" s="153"/>
      <c r="L88" s="153"/>
      <c r="M88" s="153"/>
      <c r="N88" s="153">
        <f>SUM(K88:M88)/3</f>
        <v>0</v>
      </c>
      <c r="O88" s="153"/>
      <c r="P88" s="153"/>
      <c r="Q88" s="153"/>
      <c r="R88" s="153">
        <f t="shared" si="60"/>
        <v>0</v>
      </c>
      <c r="S88" s="153"/>
      <c r="T88" s="153"/>
      <c r="U88" s="153"/>
      <c r="V88" s="153">
        <v>0</v>
      </c>
      <c r="W88" s="153"/>
      <c r="X88" s="153"/>
      <c r="Y88" s="153"/>
      <c r="Z88" s="153">
        <f>SUM(W88:Y88)/3</f>
        <v>0</v>
      </c>
      <c r="AA88" s="153"/>
      <c r="AB88" s="153"/>
      <c r="AC88" s="153"/>
      <c r="AD88" s="153">
        <f>SUM(AA88:AC88)/3</f>
        <v>0</v>
      </c>
      <c r="AE88" s="153"/>
      <c r="AF88" s="153"/>
      <c r="AG88" s="153"/>
      <c r="AH88" s="153">
        <f t="shared" si="62"/>
        <v>0</v>
      </c>
      <c r="AI88" s="146">
        <f>'[1]Приложение 9 СТС'!S63*'[1]Прил. 10.1. Выпадающие до 15'!N26</f>
        <v>5805407.3</v>
      </c>
      <c r="AJ88" s="146">
        <f>AI88*F88</f>
        <v>0</v>
      </c>
      <c r="AK88" s="146">
        <f>AI88*J88</f>
        <v>5724131.5978</v>
      </c>
      <c r="AL88" s="146">
        <f>AI88*N88</f>
        <v>0</v>
      </c>
      <c r="AM88" s="146">
        <f>AI88*R88</f>
        <v>0</v>
      </c>
      <c r="AN88" s="146">
        <f>AJ88+AK88+AL88+AM88</f>
        <v>5724131.5978</v>
      </c>
      <c r="AO88" s="160" t="e">
        <f>AN88/(V88+Z88+AD88+AH88)</f>
        <v>#DIV/0!</v>
      </c>
    </row>
    <row r="89" spans="1:41" ht="25.5">
      <c r="A89" s="152">
        <v>3</v>
      </c>
      <c r="B89" s="153" t="s">
        <v>252</v>
      </c>
      <c r="C89" s="153"/>
      <c r="D89" s="153"/>
      <c r="E89" s="153"/>
      <c r="F89" s="153">
        <f t="shared" si="58"/>
        <v>0</v>
      </c>
      <c r="G89" s="153"/>
      <c r="H89" s="153"/>
      <c r="I89" s="153"/>
      <c r="J89" s="153">
        <f t="shared" si="59"/>
        <v>0</v>
      </c>
      <c r="K89" s="153"/>
      <c r="L89" s="153">
        <v>1</v>
      </c>
      <c r="M89" s="153"/>
      <c r="N89" s="153">
        <f>SUM(K89:M89)/COUNTIF(K89:M89,"&gt;0")</f>
        <v>1</v>
      </c>
      <c r="O89" s="153"/>
      <c r="P89" s="153"/>
      <c r="Q89" s="153">
        <v>3</v>
      </c>
      <c r="R89" s="153">
        <f>SUM(O89:Q89)/COUNTIF(O89:Q89,"&gt;0")</f>
        <v>3</v>
      </c>
      <c r="S89" s="153"/>
      <c r="T89" s="153"/>
      <c r="U89" s="153"/>
      <c r="V89" s="153">
        <f t="shared" si="61"/>
        <v>0</v>
      </c>
      <c r="W89" s="153"/>
      <c r="X89" s="153"/>
      <c r="Y89" s="153"/>
      <c r="Z89" s="153"/>
      <c r="AA89" s="153"/>
      <c r="AB89" s="153"/>
      <c r="AC89" s="153">
        <v>450</v>
      </c>
      <c r="AD89" s="153">
        <f>SUM(AA89:AC89)/COUNTIF(AA89:AC89,"&gt;0")</f>
        <v>450</v>
      </c>
      <c r="AE89" s="153"/>
      <c r="AF89" s="153"/>
      <c r="AG89" s="153">
        <v>1030</v>
      </c>
      <c r="AH89" s="153">
        <f>SUM(AE89:AG89)/COUNTIF(AE89:AG89,"&gt;0")</f>
        <v>1030</v>
      </c>
      <c r="AI89" s="146">
        <f>'[1]Приложение 9 СТС'!R77*'[1]Прил. 10.1. Выпадающие до 15'!N31</f>
        <v>7443.340244801543</v>
      </c>
      <c r="AJ89" s="146"/>
      <c r="AK89" s="146">
        <f>AI89*Z89</f>
        <v>0</v>
      </c>
      <c r="AL89" s="146">
        <f>AI89*AD89</f>
        <v>3349503.1101606945</v>
      </c>
      <c r="AM89" s="146">
        <f>AI89*AH89</f>
        <v>7666640.4521455895</v>
      </c>
      <c r="AN89" s="146">
        <f>AJ89+AK89+AL89+AM89</f>
        <v>11016143.562306285</v>
      </c>
      <c r="AO89" s="159">
        <f>AN89/(V89+Z89+AD89+AH89)</f>
        <v>7443.340244801544</v>
      </c>
    </row>
    <row r="90" spans="1:41" ht="123" customHeight="1">
      <c r="A90" s="152">
        <v>4</v>
      </c>
      <c r="B90" s="153" t="s">
        <v>269</v>
      </c>
      <c r="C90" s="156" t="s">
        <v>43</v>
      </c>
      <c r="D90" s="156" t="s">
        <v>43</v>
      </c>
      <c r="E90" s="156" t="s">
        <v>43</v>
      </c>
      <c r="F90" s="156" t="s">
        <v>43</v>
      </c>
      <c r="G90" s="156">
        <v>9</v>
      </c>
      <c r="H90" s="204">
        <v>8</v>
      </c>
      <c r="I90" s="156"/>
      <c r="J90" s="153">
        <f>SUM(G90:I90)/COUNTIF(G90:I90,"&gt;0")</f>
        <v>8.5</v>
      </c>
      <c r="K90" s="156" t="s">
        <v>43</v>
      </c>
      <c r="L90" s="156" t="s">
        <v>43</v>
      </c>
      <c r="M90" s="156" t="s">
        <v>43</v>
      </c>
      <c r="N90" s="156" t="s">
        <v>43</v>
      </c>
      <c r="O90" s="156"/>
      <c r="P90" s="204">
        <v>2</v>
      </c>
      <c r="Q90" s="156">
        <v>5</v>
      </c>
      <c r="R90" s="153">
        <f>SUM(O90:Q90)/COUNTIF(O90:Q90,"&gt;0")</f>
        <v>3.5</v>
      </c>
      <c r="S90" s="156" t="s">
        <v>43</v>
      </c>
      <c r="T90" s="156" t="s">
        <v>43</v>
      </c>
      <c r="U90" s="156" t="s">
        <v>43</v>
      </c>
      <c r="V90" s="156" t="s">
        <v>43</v>
      </c>
      <c r="W90" s="153">
        <v>4013.9</v>
      </c>
      <c r="X90" s="153"/>
      <c r="Y90" s="153"/>
      <c r="Z90" s="153">
        <f>SUM(W90:Y90)/COUNTIF(W90:Y90,"&gt;0")</f>
        <v>4013.9</v>
      </c>
      <c r="AA90" s="156" t="s">
        <v>43</v>
      </c>
      <c r="AB90" s="156" t="s">
        <v>43</v>
      </c>
      <c r="AC90" s="156" t="s">
        <v>43</v>
      </c>
      <c r="AD90" s="156" t="s">
        <v>43</v>
      </c>
      <c r="AE90" s="156"/>
      <c r="AF90" s="156"/>
      <c r="AG90" s="156"/>
      <c r="AH90" s="153">
        <f t="shared" si="62"/>
        <v>0</v>
      </c>
      <c r="AI90" s="146">
        <f>'[1]Приложение 9 СТС'!R82*'[1]Прил. 10.1. Выпадающие до 15'!N31</f>
        <v>16125.528991953233</v>
      </c>
      <c r="AJ90" s="146"/>
      <c r="AK90" s="146">
        <f>AI90*Z90</f>
        <v>64726260.82080109</v>
      </c>
      <c r="AL90" s="146"/>
      <c r="AM90" s="146">
        <f>AI90*AH90</f>
        <v>0</v>
      </c>
      <c r="AN90" s="146">
        <f>AJ90+AK90+AL90+AM90</f>
        <v>64726260.82080109</v>
      </c>
      <c r="AO90" s="160">
        <f>AN90/(Z90+AH90)</f>
        <v>16125.528991953233</v>
      </c>
    </row>
    <row r="91" spans="1:41" ht="52.5" customHeight="1">
      <c r="A91" s="152">
        <v>5</v>
      </c>
      <c r="B91" s="153" t="s">
        <v>270</v>
      </c>
      <c r="C91" s="156" t="s">
        <v>43</v>
      </c>
      <c r="D91" s="156" t="s">
        <v>43</v>
      </c>
      <c r="E91" s="156" t="s">
        <v>43</v>
      </c>
      <c r="F91" s="156" t="s">
        <v>43</v>
      </c>
      <c r="G91" s="156"/>
      <c r="H91" s="156"/>
      <c r="I91" s="156"/>
      <c r="J91" s="153">
        <f t="shared" si="59"/>
        <v>0</v>
      </c>
      <c r="K91" s="156" t="s">
        <v>43</v>
      </c>
      <c r="L91" s="156" t="s">
        <v>43</v>
      </c>
      <c r="M91" s="156" t="s">
        <v>43</v>
      </c>
      <c r="N91" s="156" t="s">
        <v>43</v>
      </c>
      <c r="O91" s="156"/>
      <c r="P91" s="156"/>
      <c r="Q91" s="156"/>
      <c r="R91" s="153">
        <f t="shared" si="60"/>
        <v>0</v>
      </c>
      <c r="S91" s="156" t="s">
        <v>43</v>
      </c>
      <c r="T91" s="156" t="s">
        <v>43</v>
      </c>
      <c r="U91" s="156" t="s">
        <v>43</v>
      </c>
      <c r="V91" s="156" t="s">
        <v>43</v>
      </c>
      <c r="W91" s="156"/>
      <c r="X91" s="156"/>
      <c r="Y91" s="156"/>
      <c r="Z91" s="153">
        <f>SUM(W91:Y91)/3</f>
        <v>0</v>
      </c>
      <c r="AA91" s="156" t="s">
        <v>43</v>
      </c>
      <c r="AB91" s="156" t="s">
        <v>43</v>
      </c>
      <c r="AC91" s="156" t="s">
        <v>43</v>
      </c>
      <c r="AD91" s="156" t="s">
        <v>43</v>
      </c>
      <c r="AE91" s="156"/>
      <c r="AF91" s="156"/>
      <c r="AG91" s="156"/>
      <c r="AH91" s="153">
        <f>SUM(AE91:AG91)/3</f>
        <v>0</v>
      </c>
      <c r="AI91" s="146"/>
      <c r="AJ91" s="146"/>
      <c r="AK91" s="146"/>
      <c r="AL91" s="146"/>
      <c r="AM91" s="146"/>
      <c r="AN91" s="146"/>
      <c r="AO91" s="159"/>
    </row>
    <row r="92" spans="1:41" ht="38.25" customHeight="1">
      <c r="A92" s="471" t="s">
        <v>271</v>
      </c>
      <c r="B92" s="471"/>
      <c r="C92" s="471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1"/>
      <c r="W92" s="471"/>
      <c r="X92" s="471"/>
      <c r="Y92" s="471"/>
      <c r="Z92" s="471"/>
      <c r="AA92" s="471"/>
      <c r="AB92" s="471"/>
      <c r="AC92" s="471"/>
      <c r="AD92" s="471"/>
      <c r="AE92" s="471"/>
      <c r="AF92" s="471"/>
      <c r="AG92" s="471"/>
      <c r="AH92" s="471"/>
      <c r="AI92" s="146"/>
      <c r="AJ92" s="142">
        <f>AJ94+AJ95+AJ97+AJ98+AJ99+AJ100+AJ101</f>
        <v>0</v>
      </c>
      <c r="AK92" s="142">
        <f>AK94+AK95+AK97+AK98+AK99+AK100+AK101</f>
        <v>0</v>
      </c>
      <c r="AL92" s="142">
        <f>AL94+AL95+AL97+AL98+AL99+AL100+AL101</f>
        <v>0</v>
      </c>
      <c r="AM92" s="142">
        <f>AM94+AM95+AM97+AM98+AM99+AM100+AM101</f>
        <v>0</v>
      </c>
      <c r="AN92" s="142">
        <f>AN94+AN95+AN97+AN98+AN99+AN100+AN101</f>
        <v>0</v>
      </c>
      <c r="AO92" s="163">
        <f>'[1]Таблица 7 .1'!X19</f>
        <v>689600.6326319107</v>
      </c>
    </row>
    <row r="93" spans="1:41" ht="38.25" customHeight="1">
      <c r="A93" s="152">
        <v>1</v>
      </c>
      <c r="B93" s="153" t="s">
        <v>245</v>
      </c>
      <c r="C93" s="153">
        <f>C94+C95</f>
        <v>0</v>
      </c>
      <c r="D93" s="153">
        <f>D94+D95</f>
        <v>0</v>
      </c>
      <c r="E93" s="153">
        <f>E94+E95</f>
        <v>0</v>
      </c>
      <c r="F93" s="153">
        <f aca="true" t="shared" si="63" ref="F93:F99">SUM(C93:E93)/3</f>
        <v>0</v>
      </c>
      <c r="G93" s="153">
        <f>G94+G95</f>
        <v>0</v>
      </c>
      <c r="H93" s="153">
        <f>H94+H95</f>
        <v>0</v>
      </c>
      <c r="I93" s="153">
        <f>I94+I95</f>
        <v>0</v>
      </c>
      <c r="J93" s="153">
        <f aca="true" t="shared" si="64" ref="J93:J101">SUM(G93:I93)/3</f>
        <v>0</v>
      </c>
      <c r="K93" s="153">
        <f>K94+K95</f>
        <v>0</v>
      </c>
      <c r="L93" s="153">
        <f>L94+L95</f>
        <v>0</v>
      </c>
      <c r="M93" s="153">
        <f>M94+M95</f>
        <v>0</v>
      </c>
      <c r="N93" s="153">
        <f aca="true" t="shared" si="65" ref="N93:N99">SUM(K93:M93)/3</f>
        <v>0</v>
      </c>
      <c r="O93" s="153">
        <f>O94+O95</f>
        <v>0</v>
      </c>
      <c r="P93" s="153">
        <f>P94+P95</f>
        <v>0</v>
      </c>
      <c r="Q93" s="153">
        <f>Q94+Q95</f>
        <v>0</v>
      </c>
      <c r="R93" s="153">
        <f aca="true" t="shared" si="66" ref="R93:R101">SUM(O93:Q93)/3</f>
        <v>0</v>
      </c>
      <c r="S93" s="153">
        <f>S94+S95</f>
        <v>0</v>
      </c>
      <c r="T93" s="153">
        <f>T94+T95</f>
        <v>0</v>
      </c>
      <c r="U93" s="153">
        <f>U94+U95</f>
        <v>0</v>
      </c>
      <c r="V93" s="153">
        <f aca="true" t="shared" si="67" ref="V93:V99">SUM(S93:U93)/3</f>
        <v>0</v>
      </c>
      <c r="W93" s="153">
        <f>W94+W95</f>
        <v>0</v>
      </c>
      <c r="X93" s="153">
        <f>X94+X95</f>
        <v>0</v>
      </c>
      <c r="Y93" s="153">
        <f>Y94+Y95</f>
        <v>0</v>
      </c>
      <c r="Z93" s="153">
        <f aca="true" t="shared" si="68" ref="Z93:Z101">SUM(W93:Y93)/3</f>
        <v>0</v>
      </c>
      <c r="AA93" s="153">
        <f>AA94+AA95</f>
        <v>0</v>
      </c>
      <c r="AB93" s="153">
        <f>AB94+AB95</f>
        <v>0</v>
      </c>
      <c r="AC93" s="153">
        <f>AC94+AC95</f>
        <v>0</v>
      </c>
      <c r="AD93" s="153">
        <f aca="true" t="shared" si="69" ref="AD93:AD99">SUM(AA93:AC93)/3</f>
        <v>0</v>
      </c>
      <c r="AE93" s="153">
        <f>AE94+AE95</f>
        <v>0</v>
      </c>
      <c r="AF93" s="153">
        <f>AF94+AF95</f>
        <v>0</v>
      </c>
      <c r="AG93" s="153">
        <f>AG94+AG95</f>
        <v>0</v>
      </c>
      <c r="AH93" s="153">
        <f aca="true" t="shared" si="70" ref="AH93:AH101">SUM(AE93:AG93)/3</f>
        <v>0</v>
      </c>
      <c r="AI93" s="146"/>
      <c r="AJ93" s="146"/>
      <c r="AK93" s="146"/>
      <c r="AL93" s="146"/>
      <c r="AM93" s="146"/>
      <c r="AN93" s="146"/>
      <c r="AO93" s="159"/>
    </row>
    <row r="94" spans="1:41" ht="38.25" customHeight="1">
      <c r="A94" s="154" t="s">
        <v>247</v>
      </c>
      <c r="B94" s="153" t="s">
        <v>85</v>
      </c>
      <c r="C94" s="153"/>
      <c r="D94" s="153"/>
      <c r="E94" s="153"/>
      <c r="F94" s="153">
        <f t="shared" si="63"/>
        <v>0</v>
      </c>
      <c r="G94" s="153"/>
      <c r="H94" s="153"/>
      <c r="I94" s="153"/>
      <c r="J94" s="153">
        <f t="shared" si="64"/>
        <v>0</v>
      </c>
      <c r="K94" s="153"/>
      <c r="L94" s="153"/>
      <c r="M94" s="153"/>
      <c r="N94" s="153">
        <f t="shared" si="65"/>
        <v>0</v>
      </c>
      <c r="O94" s="153"/>
      <c r="P94" s="153"/>
      <c r="Q94" s="153"/>
      <c r="R94" s="153">
        <f t="shared" si="66"/>
        <v>0</v>
      </c>
      <c r="S94" s="153"/>
      <c r="T94" s="153"/>
      <c r="U94" s="153"/>
      <c r="V94" s="153">
        <f t="shared" si="67"/>
        <v>0</v>
      </c>
      <c r="W94" s="153"/>
      <c r="X94" s="153"/>
      <c r="Y94" s="153"/>
      <c r="Z94" s="153">
        <f t="shared" si="68"/>
        <v>0</v>
      </c>
      <c r="AA94" s="153"/>
      <c r="AB94" s="153"/>
      <c r="AC94" s="153"/>
      <c r="AD94" s="153">
        <f t="shared" si="69"/>
        <v>0</v>
      </c>
      <c r="AE94" s="153"/>
      <c r="AF94" s="153"/>
      <c r="AG94" s="153"/>
      <c r="AH94" s="153">
        <f t="shared" si="70"/>
        <v>0</v>
      </c>
      <c r="AI94" s="146"/>
      <c r="AJ94" s="146">
        <f>AI94*F94</f>
        <v>0</v>
      </c>
      <c r="AK94" s="146">
        <f>AI94*J94</f>
        <v>0</v>
      </c>
      <c r="AL94" s="146">
        <f>AI94*N94</f>
        <v>0</v>
      </c>
      <c r="AM94" s="146">
        <f>AI94*R94</f>
        <v>0</v>
      </c>
      <c r="AN94" s="146">
        <f>AJ94+AK94+AL94+AM94</f>
        <v>0</v>
      </c>
      <c r="AO94" s="159"/>
    </row>
    <row r="95" spans="1:41" ht="38.25" customHeight="1">
      <c r="A95" s="154" t="s">
        <v>248</v>
      </c>
      <c r="B95" s="153" t="s">
        <v>86</v>
      </c>
      <c r="C95" s="153"/>
      <c r="D95" s="153"/>
      <c r="E95" s="153"/>
      <c r="F95" s="153">
        <f t="shared" si="63"/>
        <v>0</v>
      </c>
      <c r="G95" s="153"/>
      <c r="H95" s="153"/>
      <c r="I95" s="153"/>
      <c r="J95" s="153">
        <f t="shared" si="64"/>
        <v>0</v>
      </c>
      <c r="K95" s="153"/>
      <c r="L95" s="153"/>
      <c r="M95" s="153"/>
      <c r="N95" s="153">
        <f t="shared" si="65"/>
        <v>0</v>
      </c>
      <c r="O95" s="153"/>
      <c r="P95" s="153"/>
      <c r="Q95" s="153"/>
      <c r="R95" s="153">
        <f t="shared" si="66"/>
        <v>0</v>
      </c>
      <c r="S95" s="153"/>
      <c r="T95" s="153"/>
      <c r="U95" s="153"/>
      <c r="V95" s="153">
        <f t="shared" si="67"/>
        <v>0</v>
      </c>
      <c r="W95" s="153"/>
      <c r="X95" s="153"/>
      <c r="Y95" s="153"/>
      <c r="Z95" s="153">
        <f t="shared" si="68"/>
        <v>0</v>
      </c>
      <c r="AA95" s="153"/>
      <c r="AB95" s="153"/>
      <c r="AC95" s="153"/>
      <c r="AD95" s="153">
        <f t="shared" si="69"/>
        <v>0</v>
      </c>
      <c r="AE95" s="153"/>
      <c r="AF95" s="153"/>
      <c r="AG95" s="153"/>
      <c r="AH95" s="153">
        <f t="shared" si="70"/>
        <v>0</v>
      </c>
      <c r="AI95" s="146">
        <f>'[1]Приложение 9 СТС'!S42*'[1]Прил. 10.1. Выпадающие до 15'!N19</f>
        <v>2422563</v>
      </c>
      <c r="AJ95" s="146">
        <f>AI95*F95</f>
        <v>0</v>
      </c>
      <c r="AK95" s="146">
        <f>AI95*J95</f>
        <v>0</v>
      </c>
      <c r="AL95" s="146">
        <f>AI95*N95</f>
        <v>0</v>
      </c>
      <c r="AM95" s="146">
        <f>AI95*R95</f>
        <v>0</v>
      </c>
      <c r="AN95" s="146">
        <f>AJ95+AK95+AL95+AM95</f>
        <v>0</v>
      </c>
      <c r="AO95" s="159"/>
    </row>
    <row r="96" spans="1:41" ht="38.25" customHeight="1">
      <c r="A96" s="152">
        <v>2</v>
      </c>
      <c r="B96" s="153" t="s">
        <v>249</v>
      </c>
      <c r="C96" s="153">
        <f>C97+C98</f>
        <v>0</v>
      </c>
      <c r="D96" s="153">
        <f>D97+D98</f>
        <v>0</v>
      </c>
      <c r="E96" s="153">
        <f>E97+E98</f>
        <v>0</v>
      </c>
      <c r="F96" s="153">
        <f t="shared" si="63"/>
        <v>0</v>
      </c>
      <c r="G96" s="153">
        <f>G97+G98</f>
        <v>0</v>
      </c>
      <c r="H96" s="153">
        <f>H97+H98</f>
        <v>0</v>
      </c>
      <c r="I96" s="153">
        <f>I97+I98</f>
        <v>0</v>
      </c>
      <c r="J96" s="153">
        <f t="shared" si="64"/>
        <v>0</v>
      </c>
      <c r="K96" s="153">
        <f>K97+K98</f>
        <v>0</v>
      </c>
      <c r="L96" s="153">
        <f>L97+L98</f>
        <v>0</v>
      </c>
      <c r="M96" s="153">
        <f>M97+M98</f>
        <v>0</v>
      </c>
      <c r="N96" s="153">
        <f t="shared" si="65"/>
        <v>0</v>
      </c>
      <c r="O96" s="153">
        <f>O97+O98</f>
        <v>0</v>
      </c>
      <c r="P96" s="153">
        <f>P97+P98</f>
        <v>0</v>
      </c>
      <c r="Q96" s="153">
        <f>Q97+Q98</f>
        <v>0</v>
      </c>
      <c r="R96" s="153">
        <f t="shared" si="66"/>
        <v>0</v>
      </c>
      <c r="S96" s="153">
        <f>S97+S98</f>
        <v>0</v>
      </c>
      <c r="T96" s="153">
        <f>T97+T98</f>
        <v>0</v>
      </c>
      <c r="U96" s="153">
        <f>U97+U98</f>
        <v>0</v>
      </c>
      <c r="V96" s="153">
        <f t="shared" si="67"/>
        <v>0</v>
      </c>
      <c r="W96" s="153">
        <f>W97+W98</f>
        <v>0</v>
      </c>
      <c r="X96" s="153">
        <f>X97+X98</f>
        <v>0</v>
      </c>
      <c r="Y96" s="153">
        <f>Y97+Y98</f>
        <v>0</v>
      </c>
      <c r="Z96" s="153">
        <f t="shared" si="68"/>
        <v>0</v>
      </c>
      <c r="AA96" s="153">
        <f>AA97+AA98</f>
        <v>0</v>
      </c>
      <c r="AB96" s="153">
        <f>AB97+AB98</f>
        <v>0</v>
      </c>
      <c r="AC96" s="153">
        <f>AC97+AC98</f>
        <v>0</v>
      </c>
      <c r="AD96" s="153">
        <f t="shared" si="69"/>
        <v>0</v>
      </c>
      <c r="AE96" s="153">
        <f>AE97+AE98</f>
        <v>0</v>
      </c>
      <c r="AF96" s="153">
        <f>AF97+AF98</f>
        <v>0</v>
      </c>
      <c r="AG96" s="153">
        <f>AG97+AG98</f>
        <v>0</v>
      </c>
      <c r="AH96" s="153">
        <f t="shared" si="70"/>
        <v>0</v>
      </c>
      <c r="AI96" s="146"/>
      <c r="AJ96" s="146">
        <f>AI96*F96</f>
        <v>0</v>
      </c>
      <c r="AK96" s="146">
        <f>AI96*J96</f>
        <v>0</v>
      </c>
      <c r="AL96" s="146">
        <f>AI96*N96</f>
        <v>0</v>
      </c>
      <c r="AM96" s="146">
        <f>AI96*R96</f>
        <v>0</v>
      </c>
      <c r="AN96" s="146">
        <f>AJ96+AK96+AL96+AM96</f>
        <v>0</v>
      </c>
      <c r="AO96" s="159"/>
    </row>
    <row r="97" spans="1:41" ht="38.25" customHeight="1">
      <c r="A97" s="154" t="s">
        <v>250</v>
      </c>
      <c r="B97" s="153" t="s">
        <v>87</v>
      </c>
      <c r="C97" s="153"/>
      <c r="D97" s="153"/>
      <c r="E97" s="153"/>
      <c r="F97" s="153">
        <f t="shared" si="63"/>
        <v>0</v>
      </c>
      <c r="G97" s="153"/>
      <c r="H97" s="153"/>
      <c r="I97" s="153"/>
      <c r="J97" s="153">
        <f t="shared" si="64"/>
        <v>0</v>
      </c>
      <c r="K97" s="153"/>
      <c r="L97" s="153"/>
      <c r="M97" s="153"/>
      <c r="N97" s="153">
        <f t="shared" si="65"/>
        <v>0</v>
      </c>
      <c r="O97" s="153"/>
      <c r="P97" s="153"/>
      <c r="Q97" s="153"/>
      <c r="R97" s="153">
        <f t="shared" si="66"/>
        <v>0</v>
      </c>
      <c r="S97" s="153"/>
      <c r="T97" s="153"/>
      <c r="U97" s="153"/>
      <c r="V97" s="153">
        <f t="shared" si="67"/>
        <v>0</v>
      </c>
      <c r="W97" s="153"/>
      <c r="X97" s="153"/>
      <c r="Y97" s="153"/>
      <c r="Z97" s="153">
        <f t="shared" si="68"/>
        <v>0</v>
      </c>
      <c r="AA97" s="153"/>
      <c r="AB97" s="153"/>
      <c r="AC97" s="153"/>
      <c r="AD97" s="153">
        <f t="shared" si="69"/>
        <v>0</v>
      </c>
      <c r="AE97" s="153"/>
      <c r="AF97" s="153"/>
      <c r="AG97" s="153"/>
      <c r="AH97" s="153">
        <f t="shared" si="70"/>
        <v>0</v>
      </c>
      <c r="AI97" s="146"/>
      <c r="AJ97" s="146">
        <f>AI97*F97</f>
        <v>0</v>
      </c>
      <c r="AK97" s="146">
        <f>AI97*J97</f>
        <v>0</v>
      </c>
      <c r="AL97" s="146">
        <f>AI97*N97</f>
        <v>0</v>
      </c>
      <c r="AM97" s="146">
        <f>AI97*R97</f>
        <v>0</v>
      </c>
      <c r="AN97" s="146">
        <f>AJ97+AK97+AL97+AM97</f>
        <v>0</v>
      </c>
      <c r="AO97" s="159"/>
    </row>
    <row r="98" spans="1:40" ht="38.25" customHeight="1">
      <c r="A98" s="154" t="s">
        <v>251</v>
      </c>
      <c r="B98" s="153" t="s">
        <v>88</v>
      </c>
      <c r="C98" s="153"/>
      <c r="D98" s="153"/>
      <c r="E98" s="153"/>
      <c r="F98" s="153">
        <f t="shared" si="63"/>
        <v>0</v>
      </c>
      <c r="G98" s="153"/>
      <c r="H98" s="153"/>
      <c r="I98" s="153"/>
      <c r="J98" s="153">
        <f t="shared" si="64"/>
        <v>0</v>
      </c>
      <c r="K98" s="153"/>
      <c r="L98" s="153"/>
      <c r="M98" s="153"/>
      <c r="N98" s="153">
        <f t="shared" si="65"/>
        <v>0</v>
      </c>
      <c r="O98" s="153"/>
      <c r="P98" s="153"/>
      <c r="Q98" s="153"/>
      <c r="R98" s="153">
        <f t="shared" si="66"/>
        <v>0</v>
      </c>
      <c r="S98" s="153"/>
      <c r="T98" s="153"/>
      <c r="U98" s="153"/>
      <c r="V98" s="153">
        <f t="shared" si="67"/>
        <v>0</v>
      </c>
      <c r="W98" s="153"/>
      <c r="X98" s="153"/>
      <c r="Y98" s="153"/>
      <c r="Z98" s="153">
        <f t="shared" si="68"/>
        <v>0</v>
      </c>
      <c r="AA98" s="153"/>
      <c r="AB98" s="153"/>
      <c r="AC98" s="153"/>
      <c r="AD98" s="153">
        <f t="shared" si="69"/>
        <v>0</v>
      </c>
      <c r="AE98" s="153"/>
      <c r="AF98" s="153"/>
      <c r="AG98" s="153"/>
      <c r="AH98" s="153">
        <f t="shared" si="70"/>
        <v>0</v>
      </c>
      <c r="AI98" s="146">
        <f>'[1]Приложение 9 СТС'!S63*'[1]Прил. 10.1. Выпадающие до 15'!N26</f>
        <v>5805407.3</v>
      </c>
      <c r="AJ98" s="146">
        <f>AI98*F98</f>
        <v>0</v>
      </c>
      <c r="AK98" s="146">
        <f>AI98*J98</f>
        <v>0</v>
      </c>
      <c r="AL98" s="146">
        <f>AI98*N98</f>
        <v>0</v>
      </c>
      <c r="AM98" s="146">
        <f>AI98*R98</f>
        <v>0</v>
      </c>
      <c r="AN98" s="146">
        <f>AJ98+AK98+AL98+AM98</f>
        <v>0</v>
      </c>
    </row>
    <row r="99" spans="1:40" ht="38.25" customHeight="1">
      <c r="A99" s="152">
        <v>3</v>
      </c>
      <c r="B99" s="153" t="s">
        <v>252</v>
      </c>
      <c r="C99" s="153"/>
      <c r="D99" s="153"/>
      <c r="E99" s="153"/>
      <c r="F99" s="153">
        <f t="shared" si="63"/>
        <v>0</v>
      </c>
      <c r="G99" s="153"/>
      <c r="H99" s="153"/>
      <c r="I99" s="153"/>
      <c r="J99" s="153">
        <f t="shared" si="64"/>
        <v>0</v>
      </c>
      <c r="K99" s="153"/>
      <c r="L99" s="153"/>
      <c r="M99" s="153"/>
      <c r="N99" s="153">
        <f t="shared" si="65"/>
        <v>0</v>
      </c>
      <c r="O99" s="153"/>
      <c r="P99" s="153"/>
      <c r="Q99" s="153"/>
      <c r="R99" s="153">
        <f t="shared" si="66"/>
        <v>0</v>
      </c>
      <c r="S99" s="153"/>
      <c r="T99" s="153"/>
      <c r="U99" s="153"/>
      <c r="V99" s="153">
        <f t="shared" si="67"/>
        <v>0</v>
      </c>
      <c r="W99" s="153"/>
      <c r="X99" s="153"/>
      <c r="Y99" s="153"/>
      <c r="Z99" s="153">
        <f t="shared" si="68"/>
        <v>0</v>
      </c>
      <c r="AA99" s="153"/>
      <c r="AB99" s="153"/>
      <c r="AC99" s="153"/>
      <c r="AD99" s="153">
        <f t="shared" si="69"/>
        <v>0</v>
      </c>
      <c r="AE99" s="153"/>
      <c r="AF99" s="153"/>
      <c r="AG99" s="153"/>
      <c r="AH99" s="153">
        <f t="shared" si="70"/>
        <v>0</v>
      </c>
      <c r="AI99" s="146"/>
      <c r="AJ99" s="146"/>
      <c r="AK99" s="146"/>
      <c r="AL99" s="146"/>
      <c r="AM99" s="146"/>
      <c r="AN99" s="146"/>
    </row>
    <row r="100" spans="1:40" ht="125.25" customHeight="1">
      <c r="A100" s="152">
        <v>4</v>
      </c>
      <c r="B100" s="153" t="s">
        <v>269</v>
      </c>
      <c r="C100" s="156" t="s">
        <v>43</v>
      </c>
      <c r="D100" s="156" t="s">
        <v>43</v>
      </c>
      <c r="E100" s="156" t="s">
        <v>43</v>
      </c>
      <c r="F100" s="156" t="s">
        <v>43</v>
      </c>
      <c r="G100" s="156"/>
      <c r="H100" s="156"/>
      <c r="I100" s="156"/>
      <c r="J100" s="153">
        <f t="shared" si="64"/>
        <v>0</v>
      </c>
      <c r="K100" s="156" t="s">
        <v>43</v>
      </c>
      <c r="L100" s="156" t="s">
        <v>43</v>
      </c>
      <c r="M100" s="156" t="s">
        <v>43</v>
      </c>
      <c r="N100" s="156" t="s">
        <v>43</v>
      </c>
      <c r="O100" s="156"/>
      <c r="P100" s="156"/>
      <c r="Q100" s="156"/>
      <c r="R100" s="153">
        <f t="shared" si="66"/>
        <v>0</v>
      </c>
      <c r="S100" s="156" t="s">
        <v>43</v>
      </c>
      <c r="T100" s="156" t="s">
        <v>43</v>
      </c>
      <c r="U100" s="156" t="s">
        <v>43</v>
      </c>
      <c r="V100" s="156" t="s">
        <v>43</v>
      </c>
      <c r="W100" s="156"/>
      <c r="X100" s="156"/>
      <c r="Y100" s="156"/>
      <c r="Z100" s="153">
        <f t="shared" si="68"/>
        <v>0</v>
      </c>
      <c r="AA100" s="156" t="s">
        <v>43</v>
      </c>
      <c r="AB100" s="156" t="s">
        <v>43</v>
      </c>
      <c r="AC100" s="156" t="s">
        <v>43</v>
      </c>
      <c r="AD100" s="156" t="s">
        <v>43</v>
      </c>
      <c r="AE100" s="156"/>
      <c r="AF100" s="156"/>
      <c r="AG100" s="156"/>
      <c r="AH100" s="153">
        <f t="shared" si="70"/>
        <v>0</v>
      </c>
      <c r="AI100" s="146">
        <f>'[1]Приложение 9 СТС'!R82*'[1]Прил. 10.1. Выпадающие до 15'!N35</f>
        <v>16125.528991953233</v>
      </c>
      <c r="AJ100" s="146"/>
      <c r="AK100" s="146">
        <f>AI100*Z100</f>
        <v>0</v>
      </c>
      <c r="AL100" s="146"/>
      <c r="AM100" s="146">
        <f>AI100*AH100</f>
        <v>0</v>
      </c>
      <c r="AN100" s="146">
        <f>AJ100+AK100+AL100+AM100</f>
        <v>0</v>
      </c>
    </row>
    <row r="101" spans="1:40" ht="53.25" customHeight="1">
      <c r="A101" s="152">
        <v>5</v>
      </c>
      <c r="B101" s="153" t="s">
        <v>270</v>
      </c>
      <c r="C101" s="156" t="s">
        <v>43</v>
      </c>
      <c r="D101" s="156" t="s">
        <v>43</v>
      </c>
      <c r="E101" s="156" t="s">
        <v>43</v>
      </c>
      <c r="F101" s="156" t="s">
        <v>43</v>
      </c>
      <c r="G101" s="156"/>
      <c r="H101" s="156"/>
      <c r="I101" s="156"/>
      <c r="J101" s="153">
        <f t="shared" si="64"/>
        <v>0</v>
      </c>
      <c r="K101" s="156" t="s">
        <v>43</v>
      </c>
      <c r="L101" s="156" t="s">
        <v>43</v>
      </c>
      <c r="M101" s="156" t="s">
        <v>43</v>
      </c>
      <c r="N101" s="156" t="s">
        <v>43</v>
      </c>
      <c r="O101" s="156"/>
      <c r="P101" s="156"/>
      <c r="Q101" s="156"/>
      <c r="R101" s="153">
        <f t="shared" si="66"/>
        <v>0</v>
      </c>
      <c r="S101" s="156" t="s">
        <v>43</v>
      </c>
      <c r="T101" s="156" t="s">
        <v>43</v>
      </c>
      <c r="U101" s="156" t="s">
        <v>43</v>
      </c>
      <c r="V101" s="156" t="s">
        <v>43</v>
      </c>
      <c r="W101" s="156"/>
      <c r="X101" s="156"/>
      <c r="Y101" s="156"/>
      <c r="Z101" s="153">
        <f t="shared" si="68"/>
        <v>0</v>
      </c>
      <c r="AA101" s="156" t="s">
        <v>43</v>
      </c>
      <c r="AB101" s="156" t="s">
        <v>43</v>
      </c>
      <c r="AC101" s="156" t="s">
        <v>43</v>
      </c>
      <c r="AD101" s="156" t="s">
        <v>43</v>
      </c>
      <c r="AE101" s="156"/>
      <c r="AF101" s="156"/>
      <c r="AG101" s="156"/>
      <c r="AH101" s="153">
        <f t="shared" si="70"/>
        <v>0</v>
      </c>
      <c r="AI101" s="146"/>
      <c r="AJ101" s="146"/>
      <c r="AK101" s="146"/>
      <c r="AL101" s="146"/>
      <c r="AM101" s="146"/>
      <c r="AN101" s="146"/>
    </row>
    <row r="102" spans="1:41" ht="38.25" customHeight="1">
      <c r="A102" s="471" t="s">
        <v>272</v>
      </c>
      <c r="B102" s="471"/>
      <c r="C102" s="471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471"/>
      <c r="X102" s="471"/>
      <c r="Y102" s="471"/>
      <c r="Z102" s="471"/>
      <c r="AA102" s="471"/>
      <c r="AB102" s="471"/>
      <c r="AC102" s="471"/>
      <c r="AD102" s="471"/>
      <c r="AE102" s="471"/>
      <c r="AF102" s="471"/>
      <c r="AG102" s="471"/>
      <c r="AH102" s="471"/>
      <c r="AI102" s="146"/>
      <c r="AJ102" s="142">
        <f>AJ104+AJ105+AJ107+AJ108+AJ109+AJ110+AJ111</f>
        <v>0</v>
      </c>
      <c r="AK102" s="142">
        <f>AK104+AK105+AK107+AK108+AK109+AK110+AK111</f>
        <v>0</v>
      </c>
      <c r="AL102" s="142">
        <f>AL104+AL105+AL107+AL108+AL109+AL110+AL111</f>
        <v>0</v>
      </c>
      <c r="AM102" s="142">
        <f>AM104+AM105+AM107+AM108+AM109+AM110+AM111</f>
        <v>0</v>
      </c>
      <c r="AN102" s="142">
        <f>AN104+AN105+AN107+AN108+AN109+AN110+AN111</f>
        <v>0</v>
      </c>
      <c r="AO102" s="151">
        <f>'[1]Таблица 7 .1'!Z19</f>
        <v>184936.11004522213</v>
      </c>
    </row>
    <row r="103" spans="1:40" ht="38.25" customHeight="1">
      <c r="A103" s="152">
        <v>1</v>
      </c>
      <c r="B103" s="153" t="s">
        <v>245</v>
      </c>
      <c r="C103" s="153">
        <f>C104+C105</f>
        <v>0</v>
      </c>
      <c r="D103" s="153">
        <f>D104+D105</f>
        <v>0</v>
      </c>
      <c r="E103" s="153">
        <f>E104+E105</f>
        <v>0</v>
      </c>
      <c r="F103" s="153">
        <f aca="true" t="shared" si="71" ref="F103:F109">SUM(C103:E103)/3</f>
        <v>0</v>
      </c>
      <c r="G103" s="153">
        <f>G104+G105</f>
        <v>0</v>
      </c>
      <c r="H103" s="153">
        <f>H104+H105</f>
        <v>0</v>
      </c>
      <c r="I103" s="153">
        <f>I104+I105</f>
        <v>0</v>
      </c>
      <c r="J103" s="153">
        <f aca="true" t="shared" si="72" ref="J103:J111">SUM(G103:I103)/3</f>
        <v>0</v>
      </c>
      <c r="K103" s="153">
        <f>K104+K105</f>
        <v>0</v>
      </c>
      <c r="L103" s="153">
        <f>L104+L105</f>
        <v>0</v>
      </c>
      <c r="M103" s="153">
        <f>M104+M105</f>
        <v>0</v>
      </c>
      <c r="N103" s="153">
        <f aca="true" t="shared" si="73" ref="N103:N109">SUM(K103:M103)/3</f>
        <v>0</v>
      </c>
      <c r="O103" s="153">
        <f>O104+O105</f>
        <v>0</v>
      </c>
      <c r="P103" s="153">
        <f>P104+P105</f>
        <v>0</v>
      </c>
      <c r="Q103" s="153">
        <f>Q104+Q105</f>
        <v>0</v>
      </c>
      <c r="R103" s="153">
        <f aca="true" t="shared" si="74" ref="R103:R111">SUM(O103:Q103)/3</f>
        <v>0</v>
      </c>
      <c r="S103" s="153">
        <f>S104+S105</f>
        <v>0</v>
      </c>
      <c r="T103" s="153">
        <f>T104+T105</f>
        <v>0</v>
      </c>
      <c r="U103" s="153">
        <f>U104+U105</f>
        <v>0</v>
      </c>
      <c r="V103" s="153">
        <f aca="true" t="shared" si="75" ref="V103:V109">SUM(S103:U103)/3</f>
        <v>0</v>
      </c>
      <c r="W103" s="153">
        <f>W104+W105</f>
        <v>0</v>
      </c>
      <c r="X103" s="153">
        <f>X104+X105</f>
        <v>0</v>
      </c>
      <c r="Y103" s="153">
        <f>Y104+Y105</f>
        <v>0</v>
      </c>
      <c r="Z103" s="153">
        <f aca="true" t="shared" si="76" ref="Z103:Z111">SUM(W103:Y103)/3</f>
        <v>0</v>
      </c>
      <c r="AA103" s="153">
        <f>AA104+AA105</f>
        <v>0</v>
      </c>
      <c r="AB103" s="153">
        <f>AB104+AB105</f>
        <v>0</v>
      </c>
      <c r="AC103" s="153">
        <f>AC104+AC105</f>
        <v>0</v>
      </c>
      <c r="AD103" s="153">
        <f aca="true" t="shared" si="77" ref="AD103:AD109">SUM(AA103:AC103)/3</f>
        <v>0</v>
      </c>
      <c r="AE103" s="153">
        <f>AE104+AE105</f>
        <v>0</v>
      </c>
      <c r="AF103" s="153">
        <f>AF104+AF105</f>
        <v>0</v>
      </c>
      <c r="AG103" s="153">
        <f>AG104+AG105</f>
        <v>0</v>
      </c>
      <c r="AH103" s="153">
        <f aca="true" t="shared" si="78" ref="AH103:AH111">SUM(AE103:AG103)/3</f>
        <v>0</v>
      </c>
      <c r="AI103" s="146"/>
      <c r="AJ103" s="146"/>
      <c r="AK103" s="146"/>
      <c r="AL103" s="146"/>
      <c r="AM103" s="146"/>
      <c r="AN103" s="146"/>
    </row>
    <row r="104" spans="1:40" ht="38.25" customHeight="1">
      <c r="A104" s="154" t="s">
        <v>247</v>
      </c>
      <c r="B104" s="153" t="s">
        <v>85</v>
      </c>
      <c r="C104" s="153"/>
      <c r="D104" s="153"/>
      <c r="E104" s="153"/>
      <c r="F104" s="153">
        <f t="shared" si="71"/>
        <v>0</v>
      </c>
      <c r="G104" s="153"/>
      <c r="H104" s="153"/>
      <c r="I104" s="153"/>
      <c r="J104" s="153">
        <f t="shared" si="72"/>
        <v>0</v>
      </c>
      <c r="K104" s="153"/>
      <c r="L104" s="153"/>
      <c r="M104" s="153"/>
      <c r="N104" s="153">
        <f t="shared" si="73"/>
        <v>0</v>
      </c>
      <c r="O104" s="153"/>
      <c r="P104" s="153"/>
      <c r="Q104" s="153"/>
      <c r="R104" s="153">
        <f t="shared" si="74"/>
        <v>0</v>
      </c>
      <c r="S104" s="153"/>
      <c r="T104" s="153"/>
      <c r="U104" s="153"/>
      <c r="V104" s="153">
        <f t="shared" si="75"/>
        <v>0</v>
      </c>
      <c r="W104" s="153"/>
      <c r="X104" s="153"/>
      <c r="Y104" s="153"/>
      <c r="Z104" s="153">
        <f t="shared" si="76"/>
        <v>0</v>
      </c>
      <c r="AA104" s="153"/>
      <c r="AB104" s="153"/>
      <c r="AC104" s="153"/>
      <c r="AD104" s="153">
        <f t="shared" si="77"/>
        <v>0</v>
      </c>
      <c r="AE104" s="153"/>
      <c r="AF104" s="153"/>
      <c r="AG104" s="153"/>
      <c r="AH104" s="153">
        <f t="shared" si="78"/>
        <v>0</v>
      </c>
      <c r="AI104" s="146"/>
      <c r="AJ104" s="146"/>
      <c r="AK104" s="146"/>
      <c r="AL104" s="146"/>
      <c r="AM104" s="146"/>
      <c r="AN104" s="146"/>
    </row>
    <row r="105" spans="1:40" ht="38.25" customHeight="1">
      <c r="A105" s="154" t="s">
        <v>248</v>
      </c>
      <c r="B105" s="153" t="s">
        <v>86</v>
      </c>
      <c r="C105" s="153"/>
      <c r="D105" s="153"/>
      <c r="E105" s="153"/>
      <c r="F105" s="153">
        <f t="shared" si="71"/>
        <v>0</v>
      </c>
      <c r="G105" s="153"/>
      <c r="H105" s="153"/>
      <c r="I105" s="153"/>
      <c r="J105" s="153">
        <f t="shared" si="72"/>
        <v>0</v>
      </c>
      <c r="K105" s="153"/>
      <c r="L105" s="153"/>
      <c r="M105" s="153"/>
      <c r="N105" s="153">
        <f t="shared" si="73"/>
        <v>0</v>
      </c>
      <c r="O105" s="153"/>
      <c r="P105" s="153"/>
      <c r="Q105" s="153"/>
      <c r="R105" s="153">
        <f t="shared" si="74"/>
        <v>0</v>
      </c>
      <c r="S105" s="153"/>
      <c r="T105" s="153"/>
      <c r="U105" s="153"/>
      <c r="V105" s="153">
        <f t="shared" si="75"/>
        <v>0</v>
      </c>
      <c r="W105" s="153"/>
      <c r="X105" s="153"/>
      <c r="Y105" s="153"/>
      <c r="Z105" s="153">
        <f t="shared" si="76"/>
        <v>0</v>
      </c>
      <c r="AA105" s="153"/>
      <c r="AB105" s="153"/>
      <c r="AC105" s="153"/>
      <c r="AD105" s="153">
        <f t="shared" si="77"/>
        <v>0</v>
      </c>
      <c r="AE105" s="153"/>
      <c r="AF105" s="153"/>
      <c r="AG105" s="153"/>
      <c r="AH105" s="153">
        <f t="shared" si="78"/>
        <v>0</v>
      </c>
      <c r="AI105" s="146"/>
      <c r="AJ105" s="146"/>
      <c r="AK105" s="146"/>
      <c r="AL105" s="146"/>
      <c r="AM105" s="146"/>
      <c r="AN105" s="146"/>
    </row>
    <row r="106" spans="1:40" ht="38.25" customHeight="1">
      <c r="A106" s="152">
        <v>2</v>
      </c>
      <c r="B106" s="153" t="s">
        <v>249</v>
      </c>
      <c r="C106" s="153">
        <f>C107+C108</f>
        <v>0</v>
      </c>
      <c r="D106" s="153">
        <f>D107+D108</f>
        <v>0</v>
      </c>
      <c r="E106" s="153">
        <f>E107+E108</f>
        <v>0</v>
      </c>
      <c r="F106" s="153">
        <f t="shared" si="71"/>
        <v>0</v>
      </c>
      <c r="G106" s="153">
        <f>G107+G108</f>
        <v>0</v>
      </c>
      <c r="H106" s="153">
        <f>H107+H108</f>
        <v>0</v>
      </c>
      <c r="I106" s="153">
        <f>I107+I108</f>
        <v>0</v>
      </c>
      <c r="J106" s="153">
        <f t="shared" si="72"/>
        <v>0</v>
      </c>
      <c r="K106" s="153">
        <f>K107+K108</f>
        <v>0</v>
      </c>
      <c r="L106" s="153">
        <f>L107+L108</f>
        <v>0</v>
      </c>
      <c r="M106" s="153">
        <f>M107+M108</f>
        <v>0</v>
      </c>
      <c r="N106" s="153">
        <f t="shared" si="73"/>
        <v>0</v>
      </c>
      <c r="O106" s="153">
        <f>O107+O108</f>
        <v>0</v>
      </c>
      <c r="P106" s="153">
        <f>P107+P108</f>
        <v>0</v>
      </c>
      <c r="Q106" s="153">
        <f>Q107+Q108</f>
        <v>0</v>
      </c>
      <c r="R106" s="153">
        <f t="shared" si="74"/>
        <v>0</v>
      </c>
      <c r="S106" s="153">
        <f>S107+S108</f>
        <v>0</v>
      </c>
      <c r="T106" s="153">
        <f>T107+T108</f>
        <v>0</v>
      </c>
      <c r="U106" s="153">
        <f>U107+U108</f>
        <v>0</v>
      </c>
      <c r="V106" s="153">
        <f t="shared" si="75"/>
        <v>0</v>
      </c>
      <c r="W106" s="153">
        <f>W107+W108</f>
        <v>0</v>
      </c>
      <c r="X106" s="153">
        <f>X107+X108</f>
        <v>0</v>
      </c>
      <c r="Y106" s="153">
        <f>Y107+Y108</f>
        <v>0</v>
      </c>
      <c r="Z106" s="153">
        <f t="shared" si="76"/>
        <v>0</v>
      </c>
      <c r="AA106" s="153">
        <f>AA107+AA108</f>
        <v>0</v>
      </c>
      <c r="AB106" s="153">
        <f>AB107+AB108</f>
        <v>0</v>
      </c>
      <c r="AC106" s="153">
        <f>AC107+AC108</f>
        <v>0</v>
      </c>
      <c r="AD106" s="153">
        <f t="shared" si="77"/>
        <v>0</v>
      </c>
      <c r="AE106" s="153">
        <f>AE107+AE108</f>
        <v>0</v>
      </c>
      <c r="AF106" s="153">
        <f>AF107+AF108</f>
        <v>0</v>
      </c>
      <c r="AG106" s="153">
        <f>AG107+AG108</f>
        <v>0</v>
      </c>
      <c r="AH106" s="153">
        <f t="shared" si="78"/>
        <v>0</v>
      </c>
      <c r="AI106" s="146"/>
      <c r="AJ106" s="146"/>
      <c r="AK106" s="146"/>
      <c r="AL106" s="146"/>
      <c r="AM106" s="146"/>
      <c r="AN106" s="146"/>
    </row>
    <row r="107" spans="1:40" ht="38.25" customHeight="1">
      <c r="A107" s="154" t="s">
        <v>250</v>
      </c>
      <c r="B107" s="153" t="s">
        <v>87</v>
      </c>
      <c r="C107" s="153"/>
      <c r="D107" s="153"/>
      <c r="E107" s="153"/>
      <c r="F107" s="153">
        <f t="shared" si="71"/>
        <v>0</v>
      </c>
      <c r="G107" s="153"/>
      <c r="H107" s="153"/>
      <c r="I107" s="153"/>
      <c r="J107" s="153">
        <f t="shared" si="72"/>
        <v>0</v>
      </c>
      <c r="K107" s="153"/>
      <c r="L107" s="153"/>
      <c r="M107" s="153"/>
      <c r="N107" s="153">
        <f t="shared" si="73"/>
        <v>0</v>
      </c>
      <c r="O107" s="153"/>
      <c r="P107" s="153"/>
      <c r="Q107" s="153"/>
      <c r="R107" s="153">
        <f t="shared" si="74"/>
        <v>0</v>
      </c>
      <c r="S107" s="153"/>
      <c r="T107" s="153"/>
      <c r="U107" s="153"/>
      <c r="V107" s="153">
        <f t="shared" si="75"/>
        <v>0</v>
      </c>
      <c r="W107" s="153"/>
      <c r="X107" s="153"/>
      <c r="Y107" s="153"/>
      <c r="Z107" s="153">
        <f t="shared" si="76"/>
        <v>0</v>
      </c>
      <c r="AA107" s="153"/>
      <c r="AB107" s="153"/>
      <c r="AC107" s="153"/>
      <c r="AD107" s="153">
        <f t="shared" si="77"/>
        <v>0</v>
      </c>
      <c r="AE107" s="153"/>
      <c r="AF107" s="153"/>
      <c r="AG107" s="153"/>
      <c r="AH107" s="153">
        <f t="shared" si="78"/>
        <v>0</v>
      </c>
      <c r="AI107" s="146"/>
      <c r="AJ107" s="146"/>
      <c r="AK107" s="146"/>
      <c r="AL107" s="146"/>
      <c r="AM107" s="146"/>
      <c r="AN107" s="146"/>
    </row>
    <row r="108" spans="1:40" ht="38.25" customHeight="1">
      <c r="A108" s="154" t="s">
        <v>251</v>
      </c>
      <c r="B108" s="153" t="s">
        <v>88</v>
      </c>
      <c r="C108" s="153"/>
      <c r="D108" s="153"/>
      <c r="E108" s="153"/>
      <c r="F108" s="153">
        <f t="shared" si="71"/>
        <v>0</v>
      </c>
      <c r="G108" s="153"/>
      <c r="H108" s="153"/>
      <c r="I108" s="153"/>
      <c r="J108" s="153">
        <f t="shared" si="72"/>
        <v>0</v>
      </c>
      <c r="K108" s="153"/>
      <c r="L108" s="153"/>
      <c r="M108" s="153"/>
      <c r="N108" s="153">
        <f t="shared" si="73"/>
        <v>0</v>
      </c>
      <c r="O108" s="153"/>
      <c r="P108" s="153"/>
      <c r="Q108" s="153"/>
      <c r="R108" s="153">
        <f t="shared" si="74"/>
        <v>0</v>
      </c>
      <c r="S108" s="153"/>
      <c r="T108" s="153"/>
      <c r="U108" s="153"/>
      <c r="V108" s="153">
        <f t="shared" si="75"/>
        <v>0</v>
      </c>
      <c r="W108" s="153"/>
      <c r="X108" s="153"/>
      <c r="Y108" s="153"/>
      <c r="Z108" s="153">
        <f t="shared" si="76"/>
        <v>0</v>
      </c>
      <c r="AA108" s="153"/>
      <c r="AB108" s="153"/>
      <c r="AC108" s="153"/>
      <c r="AD108" s="153">
        <f t="shared" si="77"/>
        <v>0</v>
      </c>
      <c r="AE108" s="153"/>
      <c r="AF108" s="153"/>
      <c r="AG108" s="153"/>
      <c r="AH108" s="153">
        <f t="shared" si="78"/>
        <v>0</v>
      </c>
      <c r="AI108" s="146"/>
      <c r="AJ108" s="146"/>
      <c r="AK108" s="146"/>
      <c r="AL108" s="146"/>
      <c r="AM108" s="146"/>
      <c r="AN108" s="146"/>
    </row>
    <row r="109" spans="1:40" ht="38.25" customHeight="1">
      <c r="A109" s="152">
        <v>3</v>
      </c>
      <c r="B109" s="153" t="s">
        <v>252</v>
      </c>
      <c r="C109" s="153"/>
      <c r="D109" s="153"/>
      <c r="E109" s="153"/>
      <c r="F109" s="153">
        <f t="shared" si="71"/>
        <v>0</v>
      </c>
      <c r="G109" s="153"/>
      <c r="H109" s="153"/>
      <c r="I109" s="153"/>
      <c r="J109" s="153">
        <f t="shared" si="72"/>
        <v>0</v>
      </c>
      <c r="K109" s="153"/>
      <c r="L109" s="153"/>
      <c r="M109" s="153"/>
      <c r="N109" s="153">
        <f t="shared" si="73"/>
        <v>0</v>
      </c>
      <c r="O109" s="153"/>
      <c r="P109" s="153"/>
      <c r="Q109" s="153"/>
      <c r="R109" s="153">
        <f t="shared" si="74"/>
        <v>0</v>
      </c>
      <c r="S109" s="153"/>
      <c r="T109" s="153"/>
      <c r="U109" s="153"/>
      <c r="V109" s="153">
        <f t="shared" si="75"/>
        <v>0</v>
      </c>
      <c r="W109" s="153"/>
      <c r="X109" s="153"/>
      <c r="Y109" s="153"/>
      <c r="Z109" s="153">
        <f t="shared" si="76"/>
        <v>0</v>
      </c>
      <c r="AA109" s="153"/>
      <c r="AB109" s="153"/>
      <c r="AC109" s="153"/>
      <c r="AD109" s="153">
        <f t="shared" si="77"/>
        <v>0</v>
      </c>
      <c r="AE109" s="153"/>
      <c r="AF109" s="153"/>
      <c r="AG109" s="153"/>
      <c r="AH109" s="153">
        <f t="shared" si="78"/>
        <v>0</v>
      </c>
      <c r="AI109" s="146"/>
      <c r="AJ109" s="146"/>
      <c r="AK109" s="146"/>
      <c r="AL109" s="146"/>
      <c r="AM109" s="146"/>
      <c r="AN109" s="146"/>
    </row>
    <row r="110" spans="1:40" ht="121.5" customHeight="1">
      <c r="A110" s="152">
        <v>4</v>
      </c>
      <c r="B110" s="153" t="s">
        <v>269</v>
      </c>
      <c r="C110" s="156" t="s">
        <v>43</v>
      </c>
      <c r="D110" s="156" t="s">
        <v>43</v>
      </c>
      <c r="E110" s="156" t="s">
        <v>43</v>
      </c>
      <c r="F110" s="156" t="s">
        <v>43</v>
      </c>
      <c r="G110" s="156"/>
      <c r="H110" s="156"/>
      <c r="I110" s="156"/>
      <c r="J110" s="153">
        <f t="shared" si="72"/>
        <v>0</v>
      </c>
      <c r="K110" s="156" t="s">
        <v>43</v>
      </c>
      <c r="L110" s="156" t="s">
        <v>43</v>
      </c>
      <c r="M110" s="156" t="s">
        <v>43</v>
      </c>
      <c r="N110" s="156" t="s">
        <v>43</v>
      </c>
      <c r="O110" s="156"/>
      <c r="P110" s="156"/>
      <c r="Q110" s="156"/>
      <c r="R110" s="153">
        <f t="shared" si="74"/>
        <v>0</v>
      </c>
      <c r="S110" s="156" t="s">
        <v>43</v>
      </c>
      <c r="T110" s="156" t="s">
        <v>43</v>
      </c>
      <c r="U110" s="156" t="s">
        <v>43</v>
      </c>
      <c r="V110" s="156" t="s">
        <v>43</v>
      </c>
      <c r="W110" s="156"/>
      <c r="X110" s="156"/>
      <c r="Y110" s="156"/>
      <c r="Z110" s="153">
        <f t="shared" si="76"/>
        <v>0</v>
      </c>
      <c r="AA110" s="156" t="s">
        <v>43</v>
      </c>
      <c r="AB110" s="156" t="s">
        <v>43</v>
      </c>
      <c r="AC110" s="156" t="s">
        <v>43</v>
      </c>
      <c r="AD110" s="156" t="s">
        <v>43</v>
      </c>
      <c r="AE110" s="156"/>
      <c r="AF110" s="156"/>
      <c r="AG110" s="156"/>
      <c r="AH110" s="153">
        <f t="shared" si="78"/>
        <v>0</v>
      </c>
      <c r="AI110" s="146"/>
      <c r="AJ110" s="146"/>
      <c r="AK110" s="146"/>
      <c r="AL110" s="146"/>
      <c r="AM110" s="146"/>
      <c r="AN110" s="146"/>
    </row>
    <row r="111" spans="1:40" ht="58.5" customHeight="1">
      <c r="A111" s="152">
        <v>5</v>
      </c>
      <c r="B111" s="153" t="s">
        <v>270</v>
      </c>
      <c r="C111" s="156" t="s">
        <v>43</v>
      </c>
      <c r="D111" s="156" t="s">
        <v>43</v>
      </c>
      <c r="E111" s="156" t="s">
        <v>43</v>
      </c>
      <c r="F111" s="156" t="s">
        <v>43</v>
      </c>
      <c r="G111" s="156"/>
      <c r="H111" s="156"/>
      <c r="I111" s="156"/>
      <c r="J111" s="153">
        <f t="shared" si="72"/>
        <v>0</v>
      </c>
      <c r="K111" s="156" t="s">
        <v>43</v>
      </c>
      <c r="L111" s="156" t="s">
        <v>43</v>
      </c>
      <c r="M111" s="156" t="s">
        <v>43</v>
      </c>
      <c r="N111" s="156" t="s">
        <v>43</v>
      </c>
      <c r="O111" s="156"/>
      <c r="P111" s="156"/>
      <c r="Q111" s="156"/>
      <c r="R111" s="153">
        <f t="shared" si="74"/>
        <v>0</v>
      </c>
      <c r="S111" s="156" t="s">
        <v>43</v>
      </c>
      <c r="T111" s="156" t="s">
        <v>43</v>
      </c>
      <c r="U111" s="156" t="s">
        <v>43</v>
      </c>
      <c r="V111" s="156" t="s">
        <v>43</v>
      </c>
      <c r="W111" s="156"/>
      <c r="X111" s="156"/>
      <c r="Y111" s="156"/>
      <c r="Z111" s="153">
        <f t="shared" si="76"/>
        <v>0</v>
      </c>
      <c r="AA111" s="156" t="s">
        <v>43</v>
      </c>
      <c r="AB111" s="156" t="s">
        <v>43</v>
      </c>
      <c r="AC111" s="156" t="s">
        <v>43</v>
      </c>
      <c r="AD111" s="156" t="s">
        <v>43</v>
      </c>
      <c r="AE111" s="156"/>
      <c r="AF111" s="156"/>
      <c r="AG111" s="156"/>
      <c r="AH111" s="153">
        <f t="shared" si="78"/>
        <v>0</v>
      </c>
      <c r="AI111" s="146"/>
      <c r="AJ111" s="146"/>
      <c r="AK111" s="146"/>
      <c r="AL111" s="146"/>
      <c r="AM111" s="146"/>
      <c r="AN111" s="146"/>
    </row>
    <row r="112" spans="1:41" ht="15" customHeight="1">
      <c r="A112" s="471" t="s">
        <v>273</v>
      </c>
      <c r="B112" s="471"/>
      <c r="C112" s="471"/>
      <c r="D112" s="471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1"/>
      <c r="T112" s="471"/>
      <c r="U112" s="471"/>
      <c r="V112" s="471"/>
      <c r="W112" s="471"/>
      <c r="X112" s="471"/>
      <c r="Y112" s="471"/>
      <c r="Z112" s="471"/>
      <c r="AA112" s="471"/>
      <c r="AB112" s="471"/>
      <c r="AC112" s="471"/>
      <c r="AD112" s="471"/>
      <c r="AE112" s="471"/>
      <c r="AF112" s="471"/>
      <c r="AG112" s="471"/>
      <c r="AH112" s="471"/>
      <c r="AI112" s="146"/>
      <c r="AJ112" s="142">
        <f>AJ114+AJ115+AJ117+AJ118+AJ119+AJ120+AJ121</f>
        <v>1331890.56</v>
      </c>
      <c r="AK112" s="142">
        <f>AK114+AK115+AK117+AK118+AK119+AK120+AK121</f>
        <v>4540536</v>
      </c>
      <c r="AL112" s="142">
        <f>AL114+AL115+AL117+AL118+AL119+AL120+AL121</f>
        <v>75388032.72</v>
      </c>
      <c r="AM112" s="142">
        <f>AM114+AM115+AM117+AM118+AM119+AM120+AM121</f>
        <v>0</v>
      </c>
      <c r="AN112" s="142">
        <f>AN114+AN115+AN117+AN118+AN119+AN120+AN121</f>
        <v>81260459.28</v>
      </c>
      <c r="AO112" s="151">
        <f>AN112+'[1]Таблица 7 .1'!W19</f>
        <v>82510776.58195205</v>
      </c>
    </row>
    <row r="113" spans="1:40" ht="32.25" customHeight="1">
      <c r="A113" s="152">
        <v>1</v>
      </c>
      <c r="B113" s="153" t="s">
        <v>245</v>
      </c>
      <c r="C113" s="153">
        <f>C114+C115</f>
        <v>0.528</v>
      </c>
      <c r="D113" s="153"/>
      <c r="E113" s="153"/>
      <c r="F113" s="153">
        <f>SUM(C113:E113)/COUNTIF(C113:E113,"&gt;0")</f>
        <v>0.528</v>
      </c>
      <c r="G113" s="153">
        <f>G114+G115</f>
        <v>0</v>
      </c>
      <c r="H113" s="153">
        <f>H114+H115</f>
        <v>1.8</v>
      </c>
      <c r="I113" s="153">
        <f>I114+I115</f>
        <v>0</v>
      </c>
      <c r="J113" s="153">
        <f>SUM(G113:I113)/COUNTIF(G113:I113,"&gt;0")</f>
        <v>1.8</v>
      </c>
      <c r="K113" s="153">
        <f>K114+K115</f>
        <v>0</v>
      </c>
      <c r="L113" s="153">
        <f>L114+L115</f>
        <v>29.886</v>
      </c>
      <c r="M113" s="153">
        <f>M114+M115</f>
        <v>0</v>
      </c>
      <c r="N113" s="153">
        <f>SUM(K113:M113)/COUNTIF(K113:M113,"&gt;0")</f>
        <v>29.886</v>
      </c>
      <c r="O113" s="153">
        <f>O114+O115</f>
        <v>0</v>
      </c>
      <c r="P113" s="153">
        <f>P114+P115</f>
        <v>0</v>
      </c>
      <c r="Q113" s="153">
        <f>Q114+Q115</f>
        <v>0</v>
      </c>
      <c r="R113" s="153">
        <f aca="true" t="shared" si="79" ref="R113:R121">SUM(O113:Q113)/3</f>
        <v>0</v>
      </c>
      <c r="S113" s="153">
        <f>S114+S115</f>
        <v>966</v>
      </c>
      <c r="T113" s="153"/>
      <c r="U113" s="153"/>
      <c r="V113" s="153">
        <f>SUM(S113:U113)/COUNTIF(S113:U113,"&gt;0")</f>
        <v>966</v>
      </c>
      <c r="W113" s="153">
        <f>W114+W115</f>
        <v>0</v>
      </c>
      <c r="X113" s="153">
        <f>X114+X115</f>
        <v>4450</v>
      </c>
      <c r="Y113" s="153">
        <f>Y114+Y115</f>
        <v>0</v>
      </c>
      <c r="Z113" s="153">
        <f>SUM(W113:Y113)/COUNTIF(W113:Y113,"&gt;0")</f>
        <v>4450</v>
      </c>
      <c r="AA113" s="153">
        <f>AA114+AA115</f>
        <v>0</v>
      </c>
      <c r="AB113" s="153">
        <f>AB114+AB115</f>
        <v>0</v>
      </c>
      <c r="AC113" s="153">
        <f>AC114+AC115</f>
        <v>0</v>
      </c>
      <c r="AD113" s="153">
        <f aca="true" t="shared" si="80" ref="AD113:AD119">SUM(AA113:AC113)/3</f>
        <v>0</v>
      </c>
      <c r="AE113" s="153">
        <f>AE114+AE115</f>
        <v>0</v>
      </c>
      <c r="AF113" s="153">
        <f>AF114+AF115</f>
        <v>0</v>
      </c>
      <c r="AG113" s="153">
        <f>AG114+AG115</f>
        <v>0</v>
      </c>
      <c r="AH113" s="153">
        <f aca="true" t="shared" si="81" ref="AH113:AH121">SUM(AE113:AG113)/3</f>
        <v>0</v>
      </c>
      <c r="AI113" s="146"/>
      <c r="AJ113" s="146"/>
      <c r="AK113" s="146"/>
      <c r="AL113" s="146"/>
      <c r="AM113" s="146"/>
      <c r="AN113" s="146"/>
    </row>
    <row r="114" spans="1:40" ht="32.25" customHeight="1">
      <c r="A114" s="154" t="s">
        <v>247</v>
      </c>
      <c r="B114" s="153" t="s">
        <v>85</v>
      </c>
      <c r="C114" s="153"/>
      <c r="D114" s="153"/>
      <c r="E114" s="153"/>
      <c r="F114" s="153">
        <f aca="true" t="shared" si="82" ref="F114:F119">SUM(C114:E114)/3</f>
        <v>0</v>
      </c>
      <c r="G114" s="153"/>
      <c r="H114" s="153"/>
      <c r="I114" s="153"/>
      <c r="J114" s="153">
        <f aca="true" t="shared" si="83" ref="J114:J121">SUM(G114:I114)/3</f>
        <v>0</v>
      </c>
      <c r="K114" s="153"/>
      <c r="L114" s="153"/>
      <c r="M114" s="153"/>
      <c r="N114" s="153">
        <f aca="true" t="shared" si="84" ref="N114:N119">SUM(K114:M114)/3</f>
        <v>0</v>
      </c>
      <c r="O114" s="153"/>
      <c r="P114" s="153"/>
      <c r="Q114" s="153"/>
      <c r="R114" s="153">
        <f t="shared" si="79"/>
        <v>0</v>
      </c>
      <c r="S114" s="153"/>
      <c r="T114" s="153"/>
      <c r="U114" s="153"/>
      <c r="V114" s="153">
        <f aca="true" t="shared" si="85" ref="V114:V119">SUM(S114:U114)/3</f>
        <v>0</v>
      </c>
      <c r="W114" s="153"/>
      <c r="X114" s="153"/>
      <c r="Y114" s="153"/>
      <c r="Z114" s="153">
        <f aca="true" t="shared" si="86" ref="Z114:Z121">SUM(W114:Y114)/3</f>
        <v>0</v>
      </c>
      <c r="AA114" s="153"/>
      <c r="AB114" s="153"/>
      <c r="AC114" s="153"/>
      <c r="AD114" s="153">
        <f t="shared" si="80"/>
        <v>0</v>
      </c>
      <c r="AE114" s="153"/>
      <c r="AF114" s="153"/>
      <c r="AG114" s="153"/>
      <c r="AH114" s="153">
        <f t="shared" si="81"/>
        <v>0</v>
      </c>
      <c r="AI114" s="146">
        <f>'[1]Приложение 9 СТС'!Y44*'[1]Прил. 10.1. Выпадающие до 15'!N18</f>
        <v>0</v>
      </c>
      <c r="AJ114" s="146">
        <f>AI114*F114</f>
        <v>0</v>
      </c>
      <c r="AK114" s="146">
        <f>AI114*J114</f>
        <v>0</v>
      </c>
      <c r="AL114" s="146">
        <f>AI114*N114</f>
        <v>0</v>
      </c>
      <c r="AM114" s="146">
        <f>AI114*R114</f>
        <v>0</v>
      </c>
      <c r="AN114" s="146">
        <f>AJ114+AK114+AL114+AM114</f>
        <v>0</v>
      </c>
    </row>
    <row r="115" spans="1:41" ht="32.25" customHeight="1">
      <c r="A115" s="154" t="s">
        <v>248</v>
      </c>
      <c r="B115" s="153" t="s">
        <v>86</v>
      </c>
      <c r="C115" s="153">
        <v>0.528</v>
      </c>
      <c r="D115" s="153"/>
      <c r="E115" s="153"/>
      <c r="F115" s="153">
        <f>SUM(C115:E115)/COUNTIF(C115:E115,"&gt;0")</f>
        <v>0.528</v>
      </c>
      <c r="G115" s="153"/>
      <c r="H115" s="153">
        <v>1.8</v>
      </c>
      <c r="I115" s="153"/>
      <c r="J115" s="153">
        <f>SUM(G115:I115)/COUNTIF(G115:I115,"&gt;0")</f>
        <v>1.8</v>
      </c>
      <c r="K115" s="153"/>
      <c r="L115" s="153">
        <v>29.886</v>
      </c>
      <c r="M115" s="153"/>
      <c r="N115" s="153">
        <f>SUM(K115:M115)/COUNTIF(K115:M115,"&gt;0")</f>
        <v>29.886</v>
      </c>
      <c r="O115" s="153"/>
      <c r="P115" s="153"/>
      <c r="Q115" s="153"/>
      <c r="R115" s="153">
        <f t="shared" si="79"/>
        <v>0</v>
      </c>
      <c r="S115" s="153">
        <v>966</v>
      </c>
      <c r="T115" s="153"/>
      <c r="U115" s="153"/>
      <c r="V115" s="153">
        <f>SUM(S115:U115)/COUNTIF(S115:U115,"&gt;0")</f>
        <v>966</v>
      </c>
      <c r="W115" s="153"/>
      <c r="X115" s="153">
        <v>4450</v>
      </c>
      <c r="Y115" s="153"/>
      <c r="Z115" s="153">
        <f>SUM(W115:Y115)/COUNTIF(W115:Y115,"&gt;0")</f>
        <v>4450</v>
      </c>
      <c r="AA115" s="153"/>
      <c r="AB115" s="153"/>
      <c r="AC115" s="153"/>
      <c r="AD115" s="153">
        <f t="shared" si="80"/>
        <v>0</v>
      </c>
      <c r="AE115" s="153"/>
      <c r="AF115" s="153"/>
      <c r="AG115" s="153"/>
      <c r="AH115" s="153">
        <f t="shared" si="81"/>
        <v>0</v>
      </c>
      <c r="AI115" s="146">
        <f>'[1]Приложение 9 СТС'!S45*'[1]Прил. 10.1. Выпадающие до 15'!N19</f>
        <v>2522520</v>
      </c>
      <c r="AJ115" s="146">
        <f>AI115*F115</f>
        <v>1331890.56</v>
      </c>
      <c r="AK115" s="146">
        <f>AI115*J115</f>
        <v>4540536</v>
      </c>
      <c r="AL115" s="146">
        <f>AI115*N115</f>
        <v>75388032.72</v>
      </c>
      <c r="AM115" s="146">
        <f>AI115*R115</f>
        <v>0</v>
      </c>
      <c r="AN115" s="146">
        <f>AJ115+AK115+AL115+AM115</f>
        <v>81260459.28</v>
      </c>
      <c r="AO115" s="160">
        <f>AN115/(V115+Z115+AD115+AH115)</f>
        <v>15003.777562776957</v>
      </c>
    </row>
    <row r="116" spans="1:41" ht="32.25" customHeight="1">
      <c r="A116" s="152">
        <v>2</v>
      </c>
      <c r="B116" s="153" t="s">
        <v>249</v>
      </c>
      <c r="C116" s="153">
        <f>C117+C118</f>
        <v>0</v>
      </c>
      <c r="D116" s="153"/>
      <c r="E116" s="153"/>
      <c r="F116" s="153"/>
      <c r="G116" s="153">
        <f>G117+G118</f>
        <v>0</v>
      </c>
      <c r="H116" s="153">
        <f>H117+H118</f>
        <v>0</v>
      </c>
      <c r="I116" s="153">
        <f>I117+I118</f>
        <v>0</v>
      </c>
      <c r="J116" s="153">
        <f t="shared" si="83"/>
        <v>0</v>
      </c>
      <c r="K116" s="153">
        <f>K117+K118</f>
        <v>0</v>
      </c>
      <c r="L116" s="153">
        <f>L117+L118</f>
        <v>0</v>
      </c>
      <c r="M116" s="153">
        <f>M117+M118</f>
        <v>0</v>
      </c>
      <c r="N116" s="153">
        <f t="shared" si="84"/>
        <v>0</v>
      </c>
      <c r="O116" s="153">
        <f>O117+O118</f>
        <v>0</v>
      </c>
      <c r="P116" s="153">
        <f>P117+P118</f>
        <v>0</v>
      </c>
      <c r="Q116" s="153">
        <f>Q117+Q118</f>
        <v>0</v>
      </c>
      <c r="R116" s="153">
        <f t="shared" si="79"/>
        <v>0</v>
      </c>
      <c r="S116" s="153">
        <f>S117+S118</f>
        <v>0</v>
      </c>
      <c r="T116" s="153"/>
      <c r="U116" s="153"/>
      <c r="V116" s="153"/>
      <c r="W116" s="153">
        <f>W117+W118</f>
        <v>0</v>
      </c>
      <c r="X116" s="153">
        <f>X117+X118</f>
        <v>0</v>
      </c>
      <c r="Y116" s="153">
        <f>Y117+Y118</f>
        <v>0</v>
      </c>
      <c r="Z116" s="153">
        <f t="shared" si="86"/>
        <v>0</v>
      </c>
      <c r="AA116" s="153">
        <f>AA117+AA118</f>
        <v>0</v>
      </c>
      <c r="AB116" s="153">
        <f>AB117+AB118</f>
        <v>0</v>
      </c>
      <c r="AC116" s="153">
        <f>AC117+AC118</f>
        <v>0</v>
      </c>
      <c r="AD116" s="153">
        <f t="shared" si="80"/>
        <v>0</v>
      </c>
      <c r="AE116" s="153">
        <f>AE117+AE118</f>
        <v>0</v>
      </c>
      <c r="AF116" s="153">
        <f>AF117+AF118</f>
        <v>0</v>
      </c>
      <c r="AG116" s="153">
        <f>AG117+AG118</f>
        <v>0</v>
      </c>
      <c r="AH116" s="153">
        <f t="shared" si="81"/>
        <v>0</v>
      </c>
      <c r="AI116" s="146"/>
      <c r="AJ116" s="146"/>
      <c r="AK116" s="146"/>
      <c r="AL116" s="146"/>
      <c r="AM116" s="146"/>
      <c r="AN116" s="146"/>
      <c r="AO116" s="159"/>
    </row>
    <row r="117" spans="1:41" ht="32.25" customHeight="1">
      <c r="A117" s="154" t="s">
        <v>250</v>
      </c>
      <c r="B117" s="153" t="s">
        <v>87</v>
      </c>
      <c r="C117" s="153"/>
      <c r="D117" s="153"/>
      <c r="E117" s="153"/>
      <c r="F117" s="153">
        <f t="shared" si="82"/>
        <v>0</v>
      </c>
      <c r="G117" s="153"/>
      <c r="H117" s="153"/>
      <c r="I117" s="153"/>
      <c r="J117" s="153">
        <f t="shared" si="83"/>
        <v>0</v>
      </c>
      <c r="K117" s="153"/>
      <c r="L117" s="153"/>
      <c r="M117" s="153"/>
      <c r="N117" s="153">
        <f t="shared" si="84"/>
        <v>0</v>
      </c>
      <c r="O117" s="153"/>
      <c r="P117" s="153"/>
      <c r="Q117" s="153"/>
      <c r="R117" s="153">
        <f t="shared" si="79"/>
        <v>0</v>
      </c>
      <c r="S117" s="153"/>
      <c r="T117" s="153"/>
      <c r="U117" s="153"/>
      <c r="V117" s="153">
        <f t="shared" si="85"/>
        <v>0</v>
      </c>
      <c r="W117" s="153"/>
      <c r="X117" s="153"/>
      <c r="Y117" s="153"/>
      <c r="Z117" s="153">
        <f t="shared" si="86"/>
        <v>0</v>
      </c>
      <c r="AA117" s="153"/>
      <c r="AB117" s="153"/>
      <c r="AC117" s="153"/>
      <c r="AD117" s="153">
        <f t="shared" si="80"/>
        <v>0</v>
      </c>
      <c r="AE117" s="153"/>
      <c r="AF117" s="153"/>
      <c r="AG117" s="153"/>
      <c r="AH117" s="153">
        <f t="shared" si="81"/>
        <v>0</v>
      </c>
      <c r="AI117" s="146">
        <f>'[1]Приложение 9 СТС'!S66*'[1]Прил. 10.1. Выпадающие до 15'!N25</f>
        <v>6708773.4</v>
      </c>
      <c r="AJ117" s="146">
        <f>AI117*F117</f>
        <v>0</v>
      </c>
      <c r="AK117" s="146">
        <f>AI117*J117</f>
        <v>0</v>
      </c>
      <c r="AL117" s="146">
        <f>AI117*N117</f>
        <v>0</v>
      </c>
      <c r="AM117" s="146">
        <f>AI117*R117</f>
        <v>0</v>
      </c>
      <c r="AN117" s="146">
        <f>AJ117+AK117+AL117+AM117</f>
        <v>0</v>
      </c>
      <c r="AO117" s="159"/>
    </row>
    <row r="118" spans="1:41" ht="32.25" customHeight="1">
      <c r="A118" s="154" t="s">
        <v>251</v>
      </c>
      <c r="B118" s="153" t="s">
        <v>88</v>
      </c>
      <c r="C118" s="153">
        <v>0</v>
      </c>
      <c r="D118" s="153"/>
      <c r="E118" s="153"/>
      <c r="F118" s="153"/>
      <c r="G118" s="153"/>
      <c r="H118" s="153"/>
      <c r="I118" s="153"/>
      <c r="J118" s="153">
        <f t="shared" si="83"/>
        <v>0</v>
      </c>
      <c r="K118" s="153"/>
      <c r="L118" s="153"/>
      <c r="M118" s="153"/>
      <c r="N118" s="153">
        <f t="shared" si="84"/>
        <v>0</v>
      </c>
      <c r="O118" s="153"/>
      <c r="P118" s="153"/>
      <c r="Q118" s="153"/>
      <c r="R118" s="153">
        <f t="shared" si="79"/>
        <v>0</v>
      </c>
      <c r="S118" s="153"/>
      <c r="T118" s="153"/>
      <c r="U118" s="153"/>
      <c r="V118" s="153"/>
      <c r="W118" s="153"/>
      <c r="X118" s="153"/>
      <c r="Y118" s="153"/>
      <c r="Z118" s="153">
        <f t="shared" si="86"/>
        <v>0</v>
      </c>
      <c r="AA118" s="153"/>
      <c r="AB118" s="153"/>
      <c r="AC118" s="153"/>
      <c r="AD118" s="153">
        <f t="shared" si="80"/>
        <v>0</v>
      </c>
      <c r="AE118" s="153"/>
      <c r="AF118" s="153"/>
      <c r="AG118" s="153"/>
      <c r="AH118" s="153">
        <f t="shared" si="81"/>
        <v>0</v>
      </c>
      <c r="AI118" s="146">
        <f>'[1]Приложение 9 СТС'!S68*'[1]Прил. 10.1. Выпадающие до 15'!N26</f>
        <v>7012228.3</v>
      </c>
      <c r="AJ118" s="146">
        <f>AI118*F118</f>
        <v>0</v>
      </c>
      <c r="AK118" s="146">
        <f>AI118*J118</f>
        <v>0</v>
      </c>
      <c r="AL118" s="146">
        <f>AI118*N118</f>
        <v>0</v>
      </c>
      <c r="AM118" s="146">
        <f>AI118*R118</f>
        <v>0</v>
      </c>
      <c r="AN118" s="146">
        <f>AJ118+AK118+AL118+AM118</f>
        <v>0</v>
      </c>
      <c r="AO118" s="160" t="e">
        <f>AN118/(V118+Z118+AD118+AH118)</f>
        <v>#DIV/0!</v>
      </c>
    </row>
    <row r="119" spans="1:41" ht="28.5" customHeight="1">
      <c r="A119" s="152">
        <v>3</v>
      </c>
      <c r="B119" s="153" t="s">
        <v>274</v>
      </c>
      <c r="C119" s="153"/>
      <c r="D119" s="153"/>
      <c r="E119" s="153"/>
      <c r="F119" s="153">
        <f t="shared" si="82"/>
        <v>0</v>
      </c>
      <c r="G119" s="153"/>
      <c r="H119" s="153"/>
      <c r="I119" s="153"/>
      <c r="J119" s="153">
        <f t="shared" si="83"/>
        <v>0</v>
      </c>
      <c r="K119" s="153"/>
      <c r="L119" s="153"/>
      <c r="M119" s="153"/>
      <c r="N119" s="153">
        <f t="shared" si="84"/>
        <v>0</v>
      </c>
      <c r="O119" s="153"/>
      <c r="P119" s="153"/>
      <c r="Q119" s="153"/>
      <c r="R119" s="153">
        <f t="shared" si="79"/>
        <v>0</v>
      </c>
      <c r="S119" s="153"/>
      <c r="T119" s="153"/>
      <c r="U119" s="153"/>
      <c r="V119" s="153">
        <f t="shared" si="85"/>
        <v>0</v>
      </c>
      <c r="W119" s="153"/>
      <c r="X119" s="153"/>
      <c r="Y119" s="153"/>
      <c r="Z119" s="153">
        <f t="shared" si="86"/>
        <v>0</v>
      </c>
      <c r="AA119" s="153"/>
      <c r="AB119" s="153"/>
      <c r="AC119" s="153"/>
      <c r="AD119" s="153">
        <f t="shared" si="80"/>
        <v>0</v>
      </c>
      <c r="AE119" s="153"/>
      <c r="AF119" s="153"/>
      <c r="AG119" s="153"/>
      <c r="AH119" s="153">
        <f t="shared" si="81"/>
        <v>0</v>
      </c>
      <c r="AI119" s="146"/>
      <c r="AJ119" s="146"/>
      <c r="AK119" s="146"/>
      <c r="AL119" s="146"/>
      <c r="AM119" s="146"/>
      <c r="AN119" s="146"/>
      <c r="AO119" s="159" t="e">
        <f>AN119/(V119+Z119+AD119+AH119)</f>
        <v>#DIV/0!</v>
      </c>
    </row>
    <row r="120" spans="1:41" ht="120.75" customHeight="1">
      <c r="A120" s="152">
        <v>4</v>
      </c>
      <c r="B120" s="153" t="s">
        <v>253</v>
      </c>
      <c r="C120" s="156" t="s">
        <v>43</v>
      </c>
      <c r="D120" s="156" t="s">
        <v>43</v>
      </c>
      <c r="E120" s="156" t="s">
        <v>43</v>
      </c>
      <c r="F120" s="156" t="s">
        <v>43</v>
      </c>
      <c r="G120" s="156"/>
      <c r="H120" s="156">
        <v>2</v>
      </c>
      <c r="I120" s="156"/>
      <c r="J120" s="153">
        <f>SUM(G120:I120)/COUNTIF(G120:I120,"&gt;0")</f>
        <v>2</v>
      </c>
      <c r="K120" s="156" t="s">
        <v>43</v>
      </c>
      <c r="L120" s="156" t="s">
        <v>43</v>
      </c>
      <c r="M120" s="156" t="s">
        <v>43</v>
      </c>
      <c r="N120" s="156" t="s">
        <v>43</v>
      </c>
      <c r="O120" s="156"/>
      <c r="P120" s="156"/>
      <c r="Q120" s="156"/>
      <c r="R120" s="153">
        <f t="shared" si="79"/>
        <v>0</v>
      </c>
      <c r="S120" s="165" t="s">
        <v>43</v>
      </c>
      <c r="T120" s="165" t="s">
        <v>43</v>
      </c>
      <c r="U120" s="165" t="s">
        <v>43</v>
      </c>
      <c r="V120" s="165" t="s">
        <v>43</v>
      </c>
      <c r="W120" s="165"/>
      <c r="X120" s="165"/>
      <c r="Y120" s="165"/>
      <c r="Z120" s="153">
        <f t="shared" si="86"/>
        <v>0</v>
      </c>
      <c r="AA120" s="165" t="s">
        <v>43</v>
      </c>
      <c r="AB120" s="165" t="s">
        <v>43</v>
      </c>
      <c r="AC120" s="165" t="s">
        <v>43</v>
      </c>
      <c r="AD120" s="165" t="s">
        <v>43</v>
      </c>
      <c r="AE120" s="165"/>
      <c r="AF120" s="165"/>
      <c r="AG120" s="165"/>
      <c r="AH120" s="153">
        <f t="shared" si="81"/>
        <v>0</v>
      </c>
      <c r="AI120" s="146"/>
      <c r="AJ120" s="146"/>
      <c r="AK120" s="146"/>
      <c r="AL120" s="146"/>
      <c r="AM120" s="146"/>
      <c r="AN120" s="146"/>
      <c r="AO120" s="160" t="e">
        <f>AN120/(Z120+AH120)</f>
        <v>#DIV/0!</v>
      </c>
    </row>
    <row r="121" spans="1:40" ht="62.25" customHeight="1">
      <c r="A121" s="152">
        <v>5</v>
      </c>
      <c r="B121" s="153" t="s">
        <v>254</v>
      </c>
      <c r="C121" s="156" t="s">
        <v>43</v>
      </c>
      <c r="D121" s="156" t="s">
        <v>43</v>
      </c>
      <c r="E121" s="156" t="s">
        <v>43</v>
      </c>
      <c r="F121" s="156" t="s">
        <v>43</v>
      </c>
      <c r="G121" s="156"/>
      <c r="H121" s="156"/>
      <c r="I121" s="156"/>
      <c r="J121" s="153">
        <f t="shared" si="83"/>
        <v>0</v>
      </c>
      <c r="K121" s="156" t="s">
        <v>43</v>
      </c>
      <c r="L121" s="156" t="s">
        <v>43</v>
      </c>
      <c r="M121" s="156" t="s">
        <v>43</v>
      </c>
      <c r="N121" s="156" t="s">
        <v>43</v>
      </c>
      <c r="O121" s="156"/>
      <c r="P121" s="156"/>
      <c r="Q121" s="156"/>
      <c r="R121" s="153">
        <f t="shared" si="79"/>
        <v>0</v>
      </c>
      <c r="S121" s="165" t="s">
        <v>43</v>
      </c>
      <c r="T121" s="165" t="s">
        <v>43</v>
      </c>
      <c r="U121" s="165" t="s">
        <v>43</v>
      </c>
      <c r="V121" s="165" t="s">
        <v>43</v>
      </c>
      <c r="W121" s="165"/>
      <c r="X121" s="165"/>
      <c r="Y121" s="165"/>
      <c r="Z121" s="153">
        <f t="shared" si="86"/>
        <v>0</v>
      </c>
      <c r="AA121" s="165" t="s">
        <v>43</v>
      </c>
      <c r="AB121" s="165" t="s">
        <v>43</v>
      </c>
      <c r="AC121" s="165" t="s">
        <v>43</v>
      </c>
      <c r="AD121" s="165" t="s">
        <v>43</v>
      </c>
      <c r="AE121" s="165"/>
      <c r="AF121" s="165"/>
      <c r="AG121" s="165"/>
      <c r="AH121" s="153">
        <f t="shared" si="81"/>
        <v>0</v>
      </c>
      <c r="AI121" s="146"/>
      <c r="AJ121" s="146"/>
      <c r="AK121" s="146"/>
      <c r="AL121" s="146"/>
      <c r="AM121" s="146"/>
      <c r="AN121" s="146"/>
    </row>
    <row r="122" spans="1:41" ht="15" customHeight="1">
      <c r="A122" s="471" t="s">
        <v>275</v>
      </c>
      <c r="B122" s="471"/>
      <c r="C122" s="471"/>
      <c r="D122" s="471"/>
      <c r="E122" s="471"/>
      <c r="F122" s="471"/>
      <c r="G122" s="471"/>
      <c r="H122" s="471"/>
      <c r="I122" s="471"/>
      <c r="J122" s="471"/>
      <c r="K122" s="471"/>
      <c r="L122" s="471"/>
      <c r="M122" s="471"/>
      <c r="N122" s="471"/>
      <c r="O122" s="471"/>
      <c r="P122" s="471"/>
      <c r="Q122" s="471"/>
      <c r="R122" s="471"/>
      <c r="S122" s="471"/>
      <c r="T122" s="471"/>
      <c r="U122" s="471"/>
      <c r="V122" s="471"/>
      <c r="W122" s="471"/>
      <c r="X122" s="471"/>
      <c r="Y122" s="471"/>
      <c r="Z122" s="471"/>
      <c r="AA122" s="471"/>
      <c r="AB122" s="471"/>
      <c r="AC122" s="471"/>
      <c r="AD122" s="471"/>
      <c r="AE122" s="471"/>
      <c r="AF122" s="471"/>
      <c r="AG122" s="471"/>
      <c r="AH122" s="471"/>
      <c r="AI122" s="146"/>
      <c r="AJ122" s="142">
        <f>AJ124+AJ125+AJ127+AJ128+AJ129+AJ130+AJ131</f>
        <v>0</v>
      </c>
      <c r="AK122" s="142">
        <f>AK124+AK125+AK127+AK128+AK129+AK130+AK131</f>
        <v>44576539.80282246</v>
      </c>
      <c r="AL122" s="142">
        <f>AL124+AL125+AL127+AL128+AL129+AL130+AL131</f>
        <v>0</v>
      </c>
      <c r="AM122" s="142">
        <f>AM124+AM125+AM127+AM128+AM129+AM130+AM131</f>
        <v>0</v>
      </c>
      <c r="AN122" s="142">
        <f>AN124+AN125+AN127+AN128+AN129+AN130+AN131</f>
        <v>44576539.80282246</v>
      </c>
      <c r="AO122" s="151">
        <f>'[1]Таблица 7 .1'!Y19</f>
        <v>138172.90063132215</v>
      </c>
    </row>
    <row r="123" spans="1:40" ht="25.5">
      <c r="A123" s="152">
        <v>1</v>
      </c>
      <c r="B123" s="153" t="s">
        <v>245</v>
      </c>
      <c r="C123" s="153">
        <f>C124+C125</f>
        <v>0</v>
      </c>
      <c r="D123" s="153">
        <f>D124+D125</f>
        <v>0</v>
      </c>
      <c r="E123" s="153">
        <f>E124+E125</f>
        <v>0</v>
      </c>
      <c r="F123" s="153">
        <f aca="true" t="shared" si="87" ref="F123:F129">SUM(C123:E123)/3</f>
        <v>0</v>
      </c>
      <c r="G123" s="153">
        <f>G124+G125</f>
        <v>0</v>
      </c>
      <c r="H123" s="153">
        <f>H124+H125</f>
        <v>0</v>
      </c>
      <c r="I123" s="153">
        <f>I124+I125</f>
        <v>0</v>
      </c>
      <c r="J123" s="153">
        <f aca="true" t="shared" si="88" ref="J123:J131">SUM(G123:I123)/3</f>
        <v>0</v>
      </c>
      <c r="K123" s="153">
        <f>K124+K125</f>
        <v>0</v>
      </c>
      <c r="L123" s="153">
        <f>L124+L125</f>
        <v>0</v>
      </c>
      <c r="M123" s="153">
        <f>M124+M125</f>
        <v>0</v>
      </c>
      <c r="N123" s="153">
        <f aca="true" t="shared" si="89" ref="N123:N129">SUM(K123:M123)/3</f>
        <v>0</v>
      </c>
      <c r="O123" s="153">
        <f>O124+O125</f>
        <v>0</v>
      </c>
      <c r="P123" s="153">
        <f>P124+P125</f>
        <v>0</v>
      </c>
      <c r="Q123" s="153">
        <f>Q124+Q125</f>
        <v>0</v>
      </c>
      <c r="R123" s="153">
        <f aca="true" t="shared" si="90" ref="R123:R131">SUM(O123:Q123)/3</f>
        <v>0</v>
      </c>
      <c r="S123" s="153">
        <f>S124+S125</f>
        <v>0</v>
      </c>
      <c r="T123" s="153">
        <f>T124+T125</f>
        <v>0</v>
      </c>
      <c r="U123" s="153">
        <f>U124+U125</f>
        <v>0</v>
      </c>
      <c r="V123" s="153">
        <f aca="true" t="shared" si="91" ref="V123:V129">SUM(S123:U123)/3</f>
        <v>0</v>
      </c>
      <c r="W123" s="153">
        <f>W124+W125</f>
        <v>0</v>
      </c>
      <c r="X123" s="153">
        <f>X124+X125</f>
        <v>0</v>
      </c>
      <c r="Y123" s="153">
        <f>Y124+Y125</f>
        <v>0</v>
      </c>
      <c r="Z123" s="153">
        <f aca="true" t="shared" si="92" ref="Z123:Z131">SUM(W123:Y123)/3</f>
        <v>0</v>
      </c>
      <c r="AA123" s="153">
        <f>AA124+AA125</f>
        <v>0</v>
      </c>
      <c r="AB123" s="153">
        <f>AB124+AB125</f>
        <v>0</v>
      </c>
      <c r="AC123" s="153">
        <f>AC124+AC125</f>
        <v>0</v>
      </c>
      <c r="AD123" s="153">
        <f aca="true" t="shared" si="93" ref="AD123:AD129">SUM(AA123:AC123)/3</f>
        <v>0</v>
      </c>
      <c r="AE123" s="153">
        <f>AE124+AE125</f>
        <v>0</v>
      </c>
      <c r="AF123" s="153">
        <f>AF124+AF125</f>
        <v>0</v>
      </c>
      <c r="AG123" s="153">
        <f>AG124+AG125</f>
        <v>0</v>
      </c>
      <c r="AH123" s="153">
        <f aca="true" t="shared" si="94" ref="AH123:AH131">SUM(AE123:AG123)/3</f>
        <v>0</v>
      </c>
      <c r="AI123" s="146"/>
      <c r="AJ123" s="146"/>
      <c r="AK123" s="146"/>
      <c r="AL123" s="146"/>
      <c r="AM123" s="146"/>
      <c r="AN123" s="146"/>
    </row>
    <row r="124" spans="1:40" ht="25.5">
      <c r="A124" s="154" t="s">
        <v>247</v>
      </c>
      <c r="B124" s="153" t="s">
        <v>85</v>
      </c>
      <c r="C124" s="153"/>
      <c r="D124" s="153"/>
      <c r="E124" s="153"/>
      <c r="F124" s="153">
        <f t="shared" si="87"/>
        <v>0</v>
      </c>
      <c r="G124" s="153"/>
      <c r="H124" s="153"/>
      <c r="I124" s="153"/>
      <c r="J124" s="153">
        <f t="shared" si="88"/>
        <v>0</v>
      </c>
      <c r="K124" s="153"/>
      <c r="L124" s="153"/>
      <c r="M124" s="153"/>
      <c r="N124" s="153">
        <f t="shared" si="89"/>
        <v>0</v>
      </c>
      <c r="O124" s="153"/>
      <c r="P124" s="153"/>
      <c r="Q124" s="153"/>
      <c r="R124" s="153">
        <f t="shared" si="90"/>
        <v>0</v>
      </c>
      <c r="S124" s="153"/>
      <c r="T124" s="153"/>
      <c r="U124" s="153"/>
      <c r="V124" s="153">
        <f t="shared" si="91"/>
        <v>0</v>
      </c>
      <c r="W124" s="153"/>
      <c r="X124" s="153"/>
      <c r="Y124" s="153"/>
      <c r="Z124" s="153">
        <f t="shared" si="92"/>
        <v>0</v>
      </c>
      <c r="AA124" s="153"/>
      <c r="AB124" s="153"/>
      <c r="AC124" s="153"/>
      <c r="AD124" s="153">
        <f t="shared" si="93"/>
        <v>0</v>
      </c>
      <c r="AE124" s="153"/>
      <c r="AF124" s="153"/>
      <c r="AG124" s="153"/>
      <c r="AH124" s="153">
        <f t="shared" si="94"/>
        <v>0</v>
      </c>
      <c r="AI124" s="146"/>
      <c r="AJ124" s="146"/>
      <c r="AK124" s="146"/>
      <c r="AL124" s="146"/>
      <c r="AM124" s="146"/>
      <c r="AN124" s="146"/>
    </row>
    <row r="125" spans="1:40" ht="25.5">
      <c r="A125" s="154" t="s">
        <v>248</v>
      </c>
      <c r="B125" s="153" t="s">
        <v>86</v>
      </c>
      <c r="C125" s="153"/>
      <c r="D125" s="153"/>
      <c r="E125" s="153"/>
      <c r="F125" s="153">
        <f t="shared" si="87"/>
        <v>0</v>
      </c>
      <c r="G125" s="153"/>
      <c r="H125" s="153"/>
      <c r="I125" s="153"/>
      <c r="J125" s="153">
        <f t="shared" si="88"/>
        <v>0</v>
      </c>
      <c r="K125" s="153"/>
      <c r="L125" s="153"/>
      <c r="M125" s="153"/>
      <c r="N125" s="153">
        <f t="shared" si="89"/>
        <v>0</v>
      </c>
      <c r="O125" s="153"/>
      <c r="P125" s="153"/>
      <c r="Q125" s="153"/>
      <c r="R125" s="153">
        <f t="shared" si="90"/>
        <v>0</v>
      </c>
      <c r="S125" s="153"/>
      <c r="T125" s="153"/>
      <c r="U125" s="153"/>
      <c r="V125" s="153">
        <f t="shared" si="91"/>
        <v>0</v>
      </c>
      <c r="W125" s="153"/>
      <c r="X125" s="168"/>
      <c r="Y125" s="153"/>
      <c r="Z125" s="153">
        <f t="shared" si="92"/>
        <v>0</v>
      </c>
      <c r="AA125" s="153"/>
      <c r="AB125" s="153"/>
      <c r="AC125" s="153"/>
      <c r="AD125" s="153">
        <f t="shared" si="93"/>
        <v>0</v>
      </c>
      <c r="AE125" s="153"/>
      <c r="AF125" s="153"/>
      <c r="AG125" s="153"/>
      <c r="AH125" s="153">
        <f t="shared" si="94"/>
        <v>0</v>
      </c>
      <c r="AI125" s="146"/>
      <c r="AJ125" s="146"/>
      <c r="AK125" s="146"/>
      <c r="AL125" s="146"/>
      <c r="AM125" s="146"/>
      <c r="AN125" s="146"/>
    </row>
    <row r="126" spans="1:40" ht="25.5">
      <c r="A126" s="152">
        <v>2</v>
      </c>
      <c r="B126" s="153" t="s">
        <v>249</v>
      </c>
      <c r="C126" s="153">
        <f>C127+C128</f>
        <v>0</v>
      </c>
      <c r="D126" s="153">
        <f>D127+D128</f>
        <v>0</v>
      </c>
      <c r="E126" s="153">
        <f>E127+E128</f>
        <v>0</v>
      </c>
      <c r="F126" s="153">
        <f t="shared" si="87"/>
        <v>0</v>
      </c>
      <c r="G126" s="153">
        <f>G127+G128</f>
        <v>0</v>
      </c>
      <c r="H126" s="153">
        <f>H127+H128</f>
        <v>0</v>
      </c>
      <c r="I126" s="153">
        <f>I127+I128</f>
        <v>0</v>
      </c>
      <c r="J126" s="153">
        <f t="shared" si="88"/>
        <v>0</v>
      </c>
      <c r="K126" s="153">
        <f>K127+K128</f>
        <v>0</v>
      </c>
      <c r="L126" s="153">
        <f>L127+L128</f>
        <v>0</v>
      </c>
      <c r="M126" s="153">
        <f>M127+M128</f>
        <v>0</v>
      </c>
      <c r="N126" s="153">
        <f t="shared" si="89"/>
        <v>0</v>
      </c>
      <c r="O126" s="153">
        <f>O127+O128</f>
        <v>0</v>
      </c>
      <c r="P126" s="153">
        <f>P127+P128</f>
        <v>0</v>
      </c>
      <c r="Q126" s="153">
        <f>Q127+Q128</f>
        <v>0</v>
      </c>
      <c r="R126" s="153">
        <f t="shared" si="90"/>
        <v>0</v>
      </c>
      <c r="S126" s="153">
        <f>S127+S128</f>
        <v>0</v>
      </c>
      <c r="T126" s="153">
        <f>T127+T128</f>
        <v>0</v>
      </c>
      <c r="U126" s="153">
        <f>U127+U128</f>
        <v>0</v>
      </c>
      <c r="V126" s="153">
        <f t="shared" si="91"/>
        <v>0</v>
      </c>
      <c r="W126" s="153">
        <f>W127+W128</f>
        <v>0</v>
      </c>
      <c r="X126" s="153">
        <f>X127+X128</f>
        <v>0</v>
      </c>
      <c r="Y126" s="153">
        <f>Y127+Y128</f>
        <v>0</v>
      </c>
      <c r="Z126" s="153">
        <f t="shared" si="92"/>
        <v>0</v>
      </c>
      <c r="AA126" s="153">
        <f>AA127+AA128</f>
        <v>0</v>
      </c>
      <c r="AB126" s="153">
        <f>AB127+AB128</f>
        <v>0</v>
      </c>
      <c r="AC126" s="153">
        <f>AC127+AC128</f>
        <v>0</v>
      </c>
      <c r="AD126" s="153">
        <f t="shared" si="93"/>
        <v>0</v>
      </c>
      <c r="AE126" s="153">
        <f>AE127+AE128</f>
        <v>0</v>
      </c>
      <c r="AF126" s="153">
        <f>AF127+AF128</f>
        <v>0</v>
      </c>
      <c r="AG126" s="153">
        <f>AG127+AG128</f>
        <v>0</v>
      </c>
      <c r="AH126" s="153">
        <f t="shared" si="94"/>
        <v>0</v>
      </c>
      <c r="AI126" s="146"/>
      <c r="AJ126" s="146"/>
      <c r="AK126" s="146"/>
      <c r="AL126" s="146"/>
      <c r="AM126" s="146"/>
      <c r="AN126" s="146"/>
    </row>
    <row r="127" spans="1:40" ht="25.5">
      <c r="A127" s="154" t="s">
        <v>250</v>
      </c>
      <c r="B127" s="153" t="s">
        <v>87</v>
      </c>
      <c r="C127" s="153"/>
      <c r="D127" s="153"/>
      <c r="E127" s="153"/>
      <c r="F127" s="153">
        <f t="shared" si="87"/>
        <v>0</v>
      </c>
      <c r="G127" s="153"/>
      <c r="H127" s="153"/>
      <c r="I127" s="153"/>
      <c r="J127" s="153">
        <f t="shared" si="88"/>
        <v>0</v>
      </c>
      <c r="K127" s="153"/>
      <c r="L127" s="153"/>
      <c r="M127" s="153"/>
      <c r="N127" s="153">
        <f t="shared" si="89"/>
        <v>0</v>
      </c>
      <c r="O127" s="153"/>
      <c r="P127" s="153"/>
      <c r="Q127" s="153"/>
      <c r="R127" s="153">
        <f t="shared" si="90"/>
        <v>0</v>
      </c>
      <c r="S127" s="153"/>
      <c r="T127" s="153"/>
      <c r="U127" s="153"/>
      <c r="V127" s="153">
        <f t="shared" si="91"/>
        <v>0</v>
      </c>
      <c r="W127" s="153"/>
      <c r="X127" s="153"/>
      <c r="Y127" s="153"/>
      <c r="Z127" s="153">
        <f t="shared" si="92"/>
        <v>0</v>
      </c>
      <c r="AA127" s="153"/>
      <c r="AB127" s="153"/>
      <c r="AC127" s="153"/>
      <c r="AD127" s="153">
        <f t="shared" si="93"/>
        <v>0</v>
      </c>
      <c r="AE127" s="153"/>
      <c r="AF127" s="153"/>
      <c r="AG127" s="153"/>
      <c r="AH127" s="153">
        <f t="shared" si="94"/>
        <v>0</v>
      </c>
      <c r="AI127" s="146"/>
      <c r="AJ127" s="146"/>
      <c r="AK127" s="146"/>
      <c r="AL127" s="146"/>
      <c r="AM127" s="146"/>
      <c r="AN127" s="146"/>
    </row>
    <row r="128" spans="1:40" ht="25.5">
      <c r="A128" s="154" t="s">
        <v>251</v>
      </c>
      <c r="B128" s="153" t="s">
        <v>88</v>
      </c>
      <c r="C128" s="153"/>
      <c r="D128" s="153"/>
      <c r="E128" s="153"/>
      <c r="F128" s="153">
        <f t="shared" si="87"/>
        <v>0</v>
      </c>
      <c r="G128" s="153"/>
      <c r="H128" s="153"/>
      <c r="I128" s="153"/>
      <c r="J128" s="153">
        <f t="shared" si="88"/>
        <v>0</v>
      </c>
      <c r="K128" s="153"/>
      <c r="L128" s="153"/>
      <c r="M128" s="153"/>
      <c r="N128" s="153">
        <f t="shared" si="89"/>
        <v>0</v>
      </c>
      <c r="O128" s="153"/>
      <c r="P128" s="153"/>
      <c r="Q128" s="153"/>
      <c r="R128" s="153">
        <f t="shared" si="90"/>
        <v>0</v>
      </c>
      <c r="S128" s="153"/>
      <c r="T128" s="153"/>
      <c r="U128" s="153"/>
      <c r="V128" s="153">
        <f t="shared" si="91"/>
        <v>0</v>
      </c>
      <c r="W128" s="153"/>
      <c r="X128" s="153"/>
      <c r="Y128" s="153"/>
      <c r="Z128" s="153">
        <f t="shared" si="92"/>
        <v>0</v>
      </c>
      <c r="AA128" s="153"/>
      <c r="AB128" s="153"/>
      <c r="AC128" s="153"/>
      <c r="AD128" s="153">
        <f t="shared" si="93"/>
        <v>0</v>
      </c>
      <c r="AE128" s="153"/>
      <c r="AF128" s="153"/>
      <c r="AG128" s="153"/>
      <c r="AH128" s="153">
        <f t="shared" si="94"/>
        <v>0</v>
      </c>
      <c r="AI128" s="146"/>
      <c r="AJ128" s="146"/>
      <c r="AK128" s="146"/>
      <c r="AL128" s="146"/>
      <c r="AM128" s="146"/>
      <c r="AN128" s="146"/>
    </row>
    <row r="129" spans="1:40" ht="25.5">
      <c r="A129" s="152">
        <v>3</v>
      </c>
      <c r="B129" s="153" t="s">
        <v>274</v>
      </c>
      <c r="C129" s="153"/>
      <c r="D129" s="153"/>
      <c r="E129" s="153"/>
      <c r="F129" s="153">
        <f t="shared" si="87"/>
        <v>0</v>
      </c>
      <c r="G129" s="153"/>
      <c r="H129" s="153"/>
      <c r="I129" s="153"/>
      <c r="J129" s="153">
        <f t="shared" si="88"/>
        <v>0</v>
      </c>
      <c r="K129" s="153"/>
      <c r="L129" s="153"/>
      <c r="M129" s="153"/>
      <c r="N129" s="153">
        <f t="shared" si="89"/>
        <v>0</v>
      </c>
      <c r="O129" s="153"/>
      <c r="P129" s="153"/>
      <c r="Q129" s="153"/>
      <c r="R129" s="153">
        <f t="shared" si="90"/>
        <v>0</v>
      </c>
      <c r="S129" s="153"/>
      <c r="T129" s="153"/>
      <c r="U129" s="153"/>
      <c r="V129" s="153">
        <f t="shared" si="91"/>
        <v>0</v>
      </c>
      <c r="W129" s="153"/>
      <c r="X129" s="153"/>
      <c r="Y129" s="153"/>
      <c r="Z129" s="153">
        <f t="shared" si="92"/>
        <v>0</v>
      </c>
      <c r="AA129" s="153"/>
      <c r="AB129" s="153"/>
      <c r="AC129" s="153"/>
      <c r="AD129" s="153">
        <f t="shared" si="93"/>
        <v>0</v>
      </c>
      <c r="AE129" s="153"/>
      <c r="AF129" s="153"/>
      <c r="AG129" s="153"/>
      <c r="AH129" s="153">
        <f t="shared" si="94"/>
        <v>0</v>
      </c>
      <c r="AI129" s="146"/>
      <c r="AJ129" s="146"/>
      <c r="AK129" s="146"/>
      <c r="AL129" s="146"/>
      <c r="AM129" s="146"/>
      <c r="AN129" s="146"/>
    </row>
    <row r="130" spans="1:40" ht="126" customHeight="1">
      <c r="A130" s="152">
        <v>4</v>
      </c>
      <c r="B130" s="153" t="s">
        <v>253</v>
      </c>
      <c r="C130" s="156" t="s">
        <v>43</v>
      </c>
      <c r="D130" s="156" t="s">
        <v>43</v>
      </c>
      <c r="E130" s="156" t="s">
        <v>43</v>
      </c>
      <c r="F130" s="156" t="s">
        <v>43</v>
      </c>
      <c r="G130" s="156"/>
      <c r="H130" s="156">
        <v>1</v>
      </c>
      <c r="I130" s="156"/>
      <c r="J130" s="153">
        <f>SUM(G130:I130)/COUNTIF(G130:I130,"&gt;0")</f>
        <v>1</v>
      </c>
      <c r="K130" s="156" t="s">
        <v>43</v>
      </c>
      <c r="L130" s="156" t="s">
        <v>43</v>
      </c>
      <c r="M130" s="156" t="s">
        <v>43</v>
      </c>
      <c r="N130" s="156" t="s">
        <v>43</v>
      </c>
      <c r="O130" s="156"/>
      <c r="P130" s="156"/>
      <c r="Q130" s="156"/>
      <c r="R130" s="153">
        <f t="shared" si="90"/>
        <v>0</v>
      </c>
      <c r="S130" s="156" t="s">
        <v>43</v>
      </c>
      <c r="T130" s="156" t="s">
        <v>43</v>
      </c>
      <c r="U130" s="156" t="s">
        <v>43</v>
      </c>
      <c r="V130" s="156" t="s">
        <v>43</v>
      </c>
      <c r="W130" s="156"/>
      <c r="X130" s="156">
        <v>5607</v>
      </c>
      <c r="Y130" s="156"/>
      <c r="Z130" s="153">
        <f>SUM(W130:Y130)/COUNTIF(W130:Y130,"&gt;0")</f>
        <v>5607</v>
      </c>
      <c r="AA130" s="156" t="s">
        <v>43</v>
      </c>
      <c r="AB130" s="156" t="s">
        <v>43</v>
      </c>
      <c r="AC130" s="156" t="s">
        <v>43</v>
      </c>
      <c r="AD130" s="156" t="s">
        <v>43</v>
      </c>
      <c r="AE130" s="156"/>
      <c r="AF130" s="156"/>
      <c r="AG130" s="156"/>
      <c r="AH130" s="153">
        <f t="shared" si="94"/>
        <v>0</v>
      </c>
      <c r="AI130" s="146">
        <f>'[1]Приложение 9 СТС'!R83*'[1]Прил. 10.1. Выпадающие до 15'!N31</f>
        <v>7950.158694992414</v>
      </c>
      <c r="AJ130" s="146"/>
      <c r="AK130" s="146">
        <f>AI130*Z130</f>
        <v>44576539.80282246</v>
      </c>
      <c r="AL130" s="146"/>
      <c r="AM130" s="146">
        <f>AI130*AH130</f>
        <v>0</v>
      </c>
      <c r="AN130" s="146">
        <f>AJ130+AK130+AL130+AM130</f>
        <v>44576539.80282246</v>
      </c>
    </row>
    <row r="131" spans="1:40" ht="60" customHeight="1">
      <c r="A131" s="152">
        <v>5</v>
      </c>
      <c r="B131" s="153" t="s">
        <v>254</v>
      </c>
      <c r="C131" s="156" t="s">
        <v>43</v>
      </c>
      <c r="D131" s="156" t="s">
        <v>43</v>
      </c>
      <c r="E131" s="156" t="s">
        <v>43</v>
      </c>
      <c r="F131" s="156" t="s">
        <v>43</v>
      </c>
      <c r="G131" s="156"/>
      <c r="H131" s="156"/>
      <c r="I131" s="156"/>
      <c r="J131" s="153">
        <f t="shared" si="88"/>
        <v>0</v>
      </c>
      <c r="K131" s="156" t="s">
        <v>43</v>
      </c>
      <c r="L131" s="156" t="s">
        <v>43</v>
      </c>
      <c r="M131" s="156" t="s">
        <v>43</v>
      </c>
      <c r="N131" s="156" t="s">
        <v>43</v>
      </c>
      <c r="O131" s="156"/>
      <c r="P131" s="156"/>
      <c r="Q131" s="156"/>
      <c r="R131" s="153">
        <f t="shared" si="90"/>
        <v>0</v>
      </c>
      <c r="S131" s="156" t="s">
        <v>43</v>
      </c>
      <c r="T131" s="156" t="s">
        <v>43</v>
      </c>
      <c r="U131" s="156" t="s">
        <v>43</v>
      </c>
      <c r="V131" s="156" t="s">
        <v>43</v>
      </c>
      <c r="W131" s="156"/>
      <c r="X131" s="156"/>
      <c r="Y131" s="156"/>
      <c r="Z131" s="153">
        <f t="shared" si="92"/>
        <v>0</v>
      </c>
      <c r="AA131" s="156" t="s">
        <v>43</v>
      </c>
      <c r="AB131" s="156" t="s">
        <v>43</v>
      </c>
      <c r="AC131" s="156" t="s">
        <v>43</v>
      </c>
      <c r="AD131" s="156" t="s">
        <v>43</v>
      </c>
      <c r="AE131" s="156"/>
      <c r="AF131" s="156"/>
      <c r="AG131" s="156"/>
      <c r="AH131" s="153">
        <f t="shared" si="94"/>
        <v>0</v>
      </c>
      <c r="AI131" s="146"/>
      <c r="AJ131" s="146"/>
      <c r="AK131" s="146"/>
      <c r="AL131" s="146"/>
      <c r="AM131" s="146"/>
      <c r="AN131" s="146"/>
    </row>
    <row r="132" spans="1:41" ht="15" customHeight="1">
      <c r="A132" s="471" t="s">
        <v>276</v>
      </c>
      <c r="B132" s="471"/>
      <c r="C132" s="471"/>
      <c r="D132" s="471"/>
      <c r="E132" s="471"/>
      <c r="F132" s="471"/>
      <c r="G132" s="471"/>
      <c r="H132" s="471"/>
      <c r="I132" s="471"/>
      <c r="J132" s="471"/>
      <c r="K132" s="471"/>
      <c r="L132" s="471"/>
      <c r="M132" s="471"/>
      <c r="N132" s="471"/>
      <c r="O132" s="471"/>
      <c r="P132" s="471"/>
      <c r="Q132" s="471"/>
      <c r="R132" s="471"/>
      <c r="S132" s="471"/>
      <c r="T132" s="471"/>
      <c r="U132" s="471"/>
      <c r="V132" s="471"/>
      <c r="W132" s="471"/>
      <c r="X132" s="471"/>
      <c r="Y132" s="471"/>
      <c r="Z132" s="471"/>
      <c r="AA132" s="471"/>
      <c r="AB132" s="471"/>
      <c r="AC132" s="471"/>
      <c r="AD132" s="471"/>
      <c r="AE132" s="471"/>
      <c r="AF132" s="471"/>
      <c r="AG132" s="471"/>
      <c r="AH132" s="471"/>
      <c r="AI132" s="146"/>
      <c r="AJ132" s="142">
        <f>AJ134+AJ135+AJ137+AJ138+AJ139+AJ140+AJ141</f>
        <v>0</v>
      </c>
      <c r="AK132" s="142">
        <f>AK134+AK135+AK137+AK138+AK139+AK140+AK141</f>
        <v>0</v>
      </c>
      <c r="AL132" s="142">
        <f>AL134+AL135+AL137+AL138+AL139+AL140+AL141</f>
        <v>0</v>
      </c>
      <c r="AM132" s="142">
        <f>AM134+AM135+AM137+AM138+AM139+AM140+AM141</f>
        <v>0</v>
      </c>
      <c r="AN132" s="142">
        <f>AN134+AN135+AN137+AN138+AN139+AN140+AN141</f>
        <v>0</v>
      </c>
      <c r="AO132" s="151">
        <f>'[1]Таблица 7 .1'!AA19</f>
        <v>186958.30288474212</v>
      </c>
    </row>
    <row r="133" spans="1:40" ht="25.5">
      <c r="A133" s="152">
        <v>1</v>
      </c>
      <c r="B133" s="153" t="s">
        <v>245</v>
      </c>
      <c r="C133" s="153">
        <f>C134+C135</f>
        <v>0</v>
      </c>
      <c r="D133" s="153">
        <f>D134+D135</f>
        <v>0</v>
      </c>
      <c r="E133" s="153">
        <f>E134+E135</f>
        <v>0</v>
      </c>
      <c r="F133" s="153">
        <f aca="true" t="shared" si="95" ref="F133:F139">SUM(C133:E133)/3</f>
        <v>0</v>
      </c>
      <c r="G133" s="153">
        <f>G134+G135</f>
        <v>0</v>
      </c>
      <c r="H133" s="153">
        <f>H134+H135</f>
        <v>0</v>
      </c>
      <c r="I133" s="153">
        <f>I134+I135</f>
        <v>0</v>
      </c>
      <c r="J133" s="153">
        <f aca="true" t="shared" si="96" ref="J133:J141">SUM(G133:I133)/3</f>
        <v>0</v>
      </c>
      <c r="K133" s="153">
        <f>K134+K135</f>
        <v>0</v>
      </c>
      <c r="L133" s="153">
        <f>L134+L135</f>
        <v>0</v>
      </c>
      <c r="M133" s="153">
        <f>M134+M135</f>
        <v>0</v>
      </c>
      <c r="N133" s="153">
        <f aca="true" t="shared" si="97" ref="N133:N139">SUM(K133:M133)/3</f>
        <v>0</v>
      </c>
      <c r="O133" s="153">
        <f>O134+O135</f>
        <v>0</v>
      </c>
      <c r="P133" s="153">
        <f>P134+P135</f>
        <v>0</v>
      </c>
      <c r="Q133" s="153">
        <f>Q134+Q135</f>
        <v>0</v>
      </c>
      <c r="R133" s="153">
        <f aca="true" t="shared" si="98" ref="R133:R141">SUM(O133:Q133)/3</f>
        <v>0</v>
      </c>
      <c r="S133" s="153">
        <f>S134+S135</f>
        <v>0</v>
      </c>
      <c r="T133" s="153">
        <f>T134+T135</f>
        <v>0</v>
      </c>
      <c r="U133" s="153">
        <f>U134+U135</f>
        <v>0</v>
      </c>
      <c r="V133" s="153">
        <f aca="true" t="shared" si="99" ref="V133:V139">SUM(S133:U133)/3</f>
        <v>0</v>
      </c>
      <c r="W133" s="153">
        <f>W134+W135</f>
        <v>0</v>
      </c>
      <c r="X133" s="153">
        <f>X134+X135</f>
        <v>0</v>
      </c>
      <c r="Y133" s="153">
        <f>Y134+Y135</f>
        <v>0</v>
      </c>
      <c r="Z133" s="153">
        <f aca="true" t="shared" si="100" ref="Z133:Z141">SUM(W133:Y133)/3</f>
        <v>0</v>
      </c>
      <c r="AA133" s="153">
        <f>AA134+AA135</f>
        <v>0</v>
      </c>
      <c r="AB133" s="153">
        <f>AB134+AB135</f>
        <v>0</v>
      </c>
      <c r="AC133" s="153">
        <f>AC134+AC135</f>
        <v>0</v>
      </c>
      <c r="AD133" s="153">
        <f aca="true" t="shared" si="101" ref="AD133:AD139">SUM(AA133:AC133)/3</f>
        <v>0</v>
      </c>
      <c r="AE133" s="153">
        <f>AE134+AE135</f>
        <v>0</v>
      </c>
      <c r="AF133" s="153">
        <f>AF134+AF135</f>
        <v>0</v>
      </c>
      <c r="AG133" s="153">
        <f>AG134+AG135</f>
        <v>0</v>
      </c>
      <c r="AH133" s="153">
        <f aca="true" t="shared" si="102" ref="AH133:AH141">SUM(AE133:AG133)/3</f>
        <v>0</v>
      </c>
      <c r="AI133" s="146"/>
      <c r="AJ133" s="146"/>
      <c r="AK133" s="146"/>
      <c r="AL133" s="146"/>
      <c r="AM133" s="146"/>
      <c r="AN133" s="146"/>
    </row>
    <row r="134" spans="1:40" ht="25.5">
      <c r="A134" s="154" t="s">
        <v>247</v>
      </c>
      <c r="B134" s="153" t="s">
        <v>85</v>
      </c>
      <c r="C134" s="153"/>
      <c r="D134" s="153"/>
      <c r="E134" s="153"/>
      <c r="F134" s="153">
        <f t="shared" si="95"/>
        <v>0</v>
      </c>
      <c r="G134" s="153"/>
      <c r="H134" s="153"/>
      <c r="I134" s="153"/>
      <c r="J134" s="153">
        <f t="shared" si="96"/>
        <v>0</v>
      </c>
      <c r="K134" s="153"/>
      <c r="L134" s="153"/>
      <c r="M134" s="153"/>
      <c r="N134" s="153">
        <f t="shared" si="97"/>
        <v>0</v>
      </c>
      <c r="O134" s="153"/>
      <c r="P134" s="153"/>
      <c r="Q134" s="153"/>
      <c r="R134" s="153">
        <f t="shared" si="98"/>
        <v>0</v>
      </c>
      <c r="S134" s="153"/>
      <c r="T134" s="153"/>
      <c r="U134" s="153"/>
      <c r="V134" s="153">
        <f t="shared" si="99"/>
        <v>0</v>
      </c>
      <c r="W134" s="153"/>
      <c r="X134" s="153"/>
      <c r="Y134" s="153"/>
      <c r="Z134" s="153">
        <f t="shared" si="100"/>
        <v>0</v>
      </c>
      <c r="AA134" s="153"/>
      <c r="AB134" s="153"/>
      <c r="AC134" s="153"/>
      <c r="AD134" s="153">
        <f t="shared" si="101"/>
        <v>0</v>
      </c>
      <c r="AE134" s="153"/>
      <c r="AF134" s="153"/>
      <c r="AG134" s="153"/>
      <c r="AH134" s="153">
        <f t="shared" si="102"/>
        <v>0</v>
      </c>
      <c r="AI134" s="146"/>
      <c r="AJ134" s="146"/>
      <c r="AK134" s="146"/>
      <c r="AL134" s="146"/>
      <c r="AM134" s="146"/>
      <c r="AN134" s="146"/>
    </row>
    <row r="135" spans="1:40" ht="25.5">
      <c r="A135" s="154" t="s">
        <v>248</v>
      </c>
      <c r="B135" s="153" t="s">
        <v>86</v>
      </c>
      <c r="C135" s="153"/>
      <c r="D135" s="153"/>
      <c r="E135" s="153"/>
      <c r="F135" s="153">
        <f t="shared" si="95"/>
        <v>0</v>
      </c>
      <c r="G135" s="153"/>
      <c r="H135" s="153"/>
      <c r="I135" s="153"/>
      <c r="J135" s="153">
        <f t="shared" si="96"/>
        <v>0</v>
      </c>
      <c r="K135" s="153"/>
      <c r="L135" s="153"/>
      <c r="M135" s="153"/>
      <c r="N135" s="153">
        <f t="shared" si="97"/>
        <v>0</v>
      </c>
      <c r="O135" s="153"/>
      <c r="P135" s="153"/>
      <c r="Q135" s="153"/>
      <c r="R135" s="153">
        <f t="shared" si="98"/>
        <v>0</v>
      </c>
      <c r="S135" s="153"/>
      <c r="T135" s="153"/>
      <c r="U135" s="153"/>
      <c r="V135" s="153">
        <f t="shared" si="99"/>
        <v>0</v>
      </c>
      <c r="W135" s="153"/>
      <c r="X135" s="153"/>
      <c r="Y135" s="153"/>
      <c r="Z135" s="153">
        <f t="shared" si="100"/>
        <v>0</v>
      </c>
      <c r="AA135" s="153"/>
      <c r="AB135" s="153"/>
      <c r="AC135" s="153"/>
      <c r="AD135" s="153">
        <f t="shared" si="101"/>
        <v>0</v>
      </c>
      <c r="AE135" s="153"/>
      <c r="AF135" s="153"/>
      <c r="AG135" s="153"/>
      <c r="AH135" s="153">
        <f t="shared" si="102"/>
        <v>0</v>
      </c>
      <c r="AI135" s="146"/>
      <c r="AJ135" s="146"/>
      <c r="AK135" s="146"/>
      <c r="AL135" s="146"/>
      <c r="AM135" s="146"/>
      <c r="AN135" s="146"/>
    </row>
    <row r="136" spans="1:40" ht="25.5">
      <c r="A136" s="152">
        <v>2</v>
      </c>
      <c r="B136" s="153" t="s">
        <v>249</v>
      </c>
      <c r="C136" s="153">
        <f>C137+C138</f>
        <v>0</v>
      </c>
      <c r="D136" s="153">
        <f>D137+D138</f>
        <v>0</v>
      </c>
      <c r="E136" s="153">
        <f>E137+E138</f>
        <v>0</v>
      </c>
      <c r="F136" s="153">
        <f t="shared" si="95"/>
        <v>0</v>
      </c>
      <c r="G136" s="153">
        <f>G137+G138</f>
        <v>0</v>
      </c>
      <c r="H136" s="153">
        <f>H137+H138</f>
        <v>0</v>
      </c>
      <c r="I136" s="153">
        <f>I137+I138</f>
        <v>0</v>
      </c>
      <c r="J136" s="153">
        <f t="shared" si="96"/>
        <v>0</v>
      </c>
      <c r="K136" s="153">
        <f>K137+K138</f>
        <v>0</v>
      </c>
      <c r="L136" s="153">
        <f>L137+L138</f>
        <v>0</v>
      </c>
      <c r="M136" s="153">
        <f>M137+M138</f>
        <v>0</v>
      </c>
      <c r="N136" s="153">
        <f t="shared" si="97"/>
        <v>0</v>
      </c>
      <c r="O136" s="153">
        <f>O137+O138</f>
        <v>0</v>
      </c>
      <c r="P136" s="153">
        <f>P137+P138</f>
        <v>0</v>
      </c>
      <c r="Q136" s="153">
        <f>Q137+Q138</f>
        <v>0</v>
      </c>
      <c r="R136" s="153">
        <f t="shared" si="98"/>
        <v>0</v>
      </c>
      <c r="S136" s="153">
        <f>S137+S138</f>
        <v>0</v>
      </c>
      <c r="T136" s="153">
        <f>T137+T138</f>
        <v>0</v>
      </c>
      <c r="U136" s="153">
        <f>U137+U138</f>
        <v>0</v>
      </c>
      <c r="V136" s="153">
        <f t="shared" si="99"/>
        <v>0</v>
      </c>
      <c r="W136" s="153">
        <f>W137+W138</f>
        <v>0</v>
      </c>
      <c r="X136" s="153">
        <f>X137+X138</f>
        <v>0</v>
      </c>
      <c r="Y136" s="153">
        <f>Y137+Y138</f>
        <v>0</v>
      </c>
      <c r="Z136" s="153">
        <f t="shared" si="100"/>
        <v>0</v>
      </c>
      <c r="AA136" s="153">
        <f>AA137+AA138</f>
        <v>0</v>
      </c>
      <c r="AB136" s="153">
        <f>AB137+AB138</f>
        <v>0</v>
      </c>
      <c r="AC136" s="153">
        <f>AC137+AC138</f>
        <v>0</v>
      </c>
      <c r="AD136" s="153">
        <f t="shared" si="101"/>
        <v>0</v>
      </c>
      <c r="AE136" s="153">
        <f>AE137+AE138</f>
        <v>0</v>
      </c>
      <c r="AF136" s="153">
        <f>AF137+AF138</f>
        <v>0</v>
      </c>
      <c r="AG136" s="153">
        <f>AG137+AG138</f>
        <v>0</v>
      </c>
      <c r="AH136" s="153">
        <f t="shared" si="102"/>
        <v>0</v>
      </c>
      <c r="AI136" s="146"/>
      <c r="AJ136" s="146"/>
      <c r="AK136" s="146"/>
      <c r="AL136" s="146"/>
      <c r="AM136" s="146"/>
      <c r="AN136" s="146"/>
    </row>
    <row r="137" spans="1:40" ht="25.5">
      <c r="A137" s="154" t="s">
        <v>250</v>
      </c>
      <c r="B137" s="153" t="s">
        <v>87</v>
      </c>
      <c r="C137" s="153"/>
      <c r="D137" s="153"/>
      <c r="E137" s="153"/>
      <c r="F137" s="153">
        <f t="shared" si="95"/>
        <v>0</v>
      </c>
      <c r="G137" s="153"/>
      <c r="H137" s="153"/>
      <c r="I137" s="153"/>
      <c r="J137" s="153">
        <f t="shared" si="96"/>
        <v>0</v>
      </c>
      <c r="K137" s="153"/>
      <c r="L137" s="153"/>
      <c r="M137" s="153"/>
      <c r="N137" s="153">
        <f t="shared" si="97"/>
        <v>0</v>
      </c>
      <c r="O137" s="153"/>
      <c r="P137" s="153"/>
      <c r="Q137" s="153"/>
      <c r="R137" s="153">
        <f t="shared" si="98"/>
        <v>0</v>
      </c>
      <c r="S137" s="153"/>
      <c r="T137" s="153"/>
      <c r="U137" s="153"/>
      <c r="V137" s="153">
        <f t="shared" si="99"/>
        <v>0</v>
      </c>
      <c r="W137" s="153"/>
      <c r="X137" s="153"/>
      <c r="Y137" s="153"/>
      <c r="Z137" s="153">
        <f t="shared" si="100"/>
        <v>0</v>
      </c>
      <c r="AA137" s="153"/>
      <c r="AB137" s="153"/>
      <c r="AC137" s="153"/>
      <c r="AD137" s="153">
        <f t="shared" si="101"/>
        <v>0</v>
      </c>
      <c r="AE137" s="153"/>
      <c r="AF137" s="153"/>
      <c r="AG137" s="153"/>
      <c r="AH137" s="153">
        <f t="shared" si="102"/>
        <v>0</v>
      </c>
      <c r="AI137" s="146"/>
      <c r="AJ137" s="146"/>
      <c r="AK137" s="146"/>
      <c r="AL137" s="146"/>
      <c r="AM137" s="146"/>
      <c r="AN137" s="146"/>
    </row>
    <row r="138" spans="1:40" ht="25.5">
      <c r="A138" s="154" t="s">
        <v>251</v>
      </c>
      <c r="B138" s="153" t="s">
        <v>88</v>
      </c>
      <c r="C138" s="153"/>
      <c r="D138" s="153"/>
      <c r="E138" s="153"/>
      <c r="F138" s="153">
        <f t="shared" si="95"/>
        <v>0</v>
      </c>
      <c r="G138" s="153"/>
      <c r="H138" s="153"/>
      <c r="I138" s="153"/>
      <c r="J138" s="153">
        <f t="shared" si="96"/>
        <v>0</v>
      </c>
      <c r="K138" s="153"/>
      <c r="L138" s="153"/>
      <c r="M138" s="153"/>
      <c r="N138" s="153">
        <f t="shared" si="97"/>
        <v>0</v>
      </c>
      <c r="O138" s="153"/>
      <c r="P138" s="153"/>
      <c r="Q138" s="153"/>
      <c r="R138" s="153">
        <f t="shared" si="98"/>
        <v>0</v>
      </c>
      <c r="S138" s="153"/>
      <c r="T138" s="153"/>
      <c r="U138" s="153"/>
      <c r="V138" s="153">
        <f t="shared" si="99"/>
        <v>0</v>
      </c>
      <c r="W138" s="153"/>
      <c r="X138" s="153"/>
      <c r="Y138" s="153"/>
      <c r="Z138" s="153">
        <f t="shared" si="100"/>
        <v>0</v>
      </c>
      <c r="AA138" s="153"/>
      <c r="AB138" s="153"/>
      <c r="AC138" s="153"/>
      <c r="AD138" s="153">
        <f t="shared" si="101"/>
        <v>0</v>
      </c>
      <c r="AE138" s="153"/>
      <c r="AF138" s="153"/>
      <c r="AG138" s="153"/>
      <c r="AH138" s="153">
        <f t="shared" si="102"/>
        <v>0</v>
      </c>
      <c r="AI138" s="146"/>
      <c r="AJ138" s="146"/>
      <c r="AK138" s="146"/>
      <c r="AL138" s="146"/>
      <c r="AM138" s="146"/>
      <c r="AN138" s="146"/>
    </row>
    <row r="139" spans="1:40" ht="25.5">
      <c r="A139" s="152">
        <v>3</v>
      </c>
      <c r="B139" s="153" t="s">
        <v>274</v>
      </c>
      <c r="C139" s="153"/>
      <c r="D139" s="153"/>
      <c r="E139" s="153"/>
      <c r="F139" s="153">
        <f t="shared" si="95"/>
        <v>0</v>
      </c>
      <c r="G139" s="153"/>
      <c r="H139" s="153"/>
      <c r="I139" s="153"/>
      <c r="J139" s="153">
        <f t="shared" si="96"/>
        <v>0</v>
      </c>
      <c r="K139" s="153"/>
      <c r="L139" s="153"/>
      <c r="M139" s="153"/>
      <c r="N139" s="153">
        <f t="shared" si="97"/>
        <v>0</v>
      </c>
      <c r="O139" s="153"/>
      <c r="P139" s="153"/>
      <c r="Q139" s="153"/>
      <c r="R139" s="153">
        <f t="shared" si="98"/>
        <v>0</v>
      </c>
      <c r="S139" s="153"/>
      <c r="T139" s="153"/>
      <c r="U139" s="153"/>
      <c r="V139" s="153">
        <f t="shared" si="99"/>
        <v>0</v>
      </c>
      <c r="W139" s="153"/>
      <c r="X139" s="153"/>
      <c r="Y139" s="153"/>
      <c r="Z139" s="153">
        <f t="shared" si="100"/>
        <v>0</v>
      </c>
      <c r="AA139" s="153"/>
      <c r="AB139" s="153"/>
      <c r="AC139" s="153"/>
      <c r="AD139" s="153">
        <f t="shared" si="101"/>
        <v>0</v>
      </c>
      <c r="AE139" s="153"/>
      <c r="AF139" s="153"/>
      <c r="AG139" s="153"/>
      <c r="AH139" s="153">
        <f t="shared" si="102"/>
        <v>0</v>
      </c>
      <c r="AI139" s="146"/>
      <c r="AJ139" s="146"/>
      <c r="AK139" s="146"/>
      <c r="AL139" s="146"/>
      <c r="AM139" s="146"/>
      <c r="AN139" s="146"/>
    </row>
    <row r="140" spans="1:40" ht="121.5" customHeight="1">
      <c r="A140" s="152">
        <v>4</v>
      </c>
      <c r="B140" s="153" t="s">
        <v>253</v>
      </c>
      <c r="C140" s="156" t="s">
        <v>43</v>
      </c>
      <c r="D140" s="156" t="s">
        <v>43</v>
      </c>
      <c r="E140" s="156" t="s">
        <v>43</v>
      </c>
      <c r="F140" s="156" t="s">
        <v>43</v>
      </c>
      <c r="G140" s="156"/>
      <c r="H140" s="156"/>
      <c r="I140" s="156"/>
      <c r="J140" s="153">
        <f t="shared" si="96"/>
        <v>0</v>
      </c>
      <c r="K140" s="156" t="s">
        <v>43</v>
      </c>
      <c r="L140" s="156" t="s">
        <v>43</v>
      </c>
      <c r="M140" s="156" t="s">
        <v>43</v>
      </c>
      <c r="N140" s="156" t="s">
        <v>43</v>
      </c>
      <c r="O140" s="156"/>
      <c r="P140" s="156"/>
      <c r="Q140" s="156"/>
      <c r="R140" s="153">
        <f t="shared" si="98"/>
        <v>0</v>
      </c>
      <c r="S140" s="156" t="s">
        <v>43</v>
      </c>
      <c r="T140" s="156" t="s">
        <v>43</v>
      </c>
      <c r="U140" s="156" t="s">
        <v>43</v>
      </c>
      <c r="V140" s="156" t="s">
        <v>43</v>
      </c>
      <c r="W140" s="156"/>
      <c r="X140" s="156"/>
      <c r="Y140" s="156"/>
      <c r="Z140" s="153">
        <f t="shared" si="100"/>
        <v>0</v>
      </c>
      <c r="AA140" s="156" t="s">
        <v>43</v>
      </c>
      <c r="AB140" s="156" t="s">
        <v>43</v>
      </c>
      <c r="AC140" s="156" t="s">
        <v>43</v>
      </c>
      <c r="AD140" s="156" t="s">
        <v>43</v>
      </c>
      <c r="AE140" s="156"/>
      <c r="AF140" s="156"/>
      <c r="AG140" s="156"/>
      <c r="AH140" s="153">
        <f t="shared" si="102"/>
        <v>0</v>
      </c>
      <c r="AI140" s="146"/>
      <c r="AJ140" s="146"/>
      <c r="AK140" s="146"/>
      <c r="AL140" s="146"/>
      <c r="AM140" s="146"/>
      <c r="AN140" s="146"/>
    </row>
    <row r="141" spans="1:40" ht="54.75" customHeight="1">
      <c r="A141" s="152">
        <v>5</v>
      </c>
      <c r="B141" s="153" t="s">
        <v>254</v>
      </c>
      <c r="C141" s="156" t="s">
        <v>43</v>
      </c>
      <c r="D141" s="156" t="s">
        <v>43</v>
      </c>
      <c r="E141" s="156" t="s">
        <v>43</v>
      </c>
      <c r="F141" s="156" t="s">
        <v>43</v>
      </c>
      <c r="G141" s="156"/>
      <c r="H141" s="156"/>
      <c r="I141" s="156"/>
      <c r="J141" s="153">
        <f t="shared" si="96"/>
        <v>0</v>
      </c>
      <c r="K141" s="156" t="s">
        <v>43</v>
      </c>
      <c r="L141" s="156" t="s">
        <v>43</v>
      </c>
      <c r="M141" s="156" t="s">
        <v>43</v>
      </c>
      <c r="N141" s="156" t="s">
        <v>43</v>
      </c>
      <c r="O141" s="156"/>
      <c r="P141" s="156"/>
      <c r="Q141" s="156"/>
      <c r="R141" s="153">
        <f t="shared" si="98"/>
        <v>0</v>
      </c>
      <c r="S141" s="156" t="s">
        <v>43</v>
      </c>
      <c r="T141" s="156" t="s">
        <v>43</v>
      </c>
      <c r="U141" s="156" t="s">
        <v>43</v>
      </c>
      <c r="V141" s="156" t="s">
        <v>43</v>
      </c>
      <c r="W141" s="156"/>
      <c r="X141" s="156"/>
      <c r="Y141" s="156"/>
      <c r="Z141" s="153">
        <f t="shared" si="100"/>
        <v>0</v>
      </c>
      <c r="AA141" s="156" t="s">
        <v>43</v>
      </c>
      <c r="AB141" s="156" t="s">
        <v>43</v>
      </c>
      <c r="AC141" s="156" t="s">
        <v>43</v>
      </c>
      <c r="AD141" s="156" t="s">
        <v>43</v>
      </c>
      <c r="AE141" s="156"/>
      <c r="AF141" s="156"/>
      <c r="AG141" s="156"/>
      <c r="AH141" s="153">
        <f t="shared" si="102"/>
        <v>0</v>
      </c>
      <c r="AI141" s="146"/>
      <c r="AJ141" s="146"/>
      <c r="AK141" s="146"/>
      <c r="AL141" s="146"/>
      <c r="AM141" s="146"/>
      <c r="AN141" s="146"/>
    </row>
    <row r="142" spans="2:34" ht="18" customHeight="1">
      <c r="B142" s="169" t="s">
        <v>277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</row>
    <row r="143" spans="2:34" s="171" customFormat="1" ht="24" customHeight="1">
      <c r="B143" s="472" t="s">
        <v>278</v>
      </c>
      <c r="C143" s="472"/>
      <c r="D143" s="472"/>
      <c r="E143" s="472"/>
      <c r="F143" s="472"/>
      <c r="G143" s="472"/>
      <c r="H143" s="472"/>
      <c r="I143" s="472"/>
      <c r="J143" s="472"/>
      <c r="K143" s="472"/>
      <c r="L143" s="472"/>
      <c r="M143" s="472"/>
      <c r="N143" s="472"/>
      <c r="O143" s="472"/>
      <c r="P143" s="472"/>
      <c r="Q143" s="472"/>
      <c r="R143" s="472"/>
      <c r="S143" s="472"/>
      <c r="T143" s="472"/>
      <c r="U143" s="472"/>
      <c r="V143" s="472"/>
      <c r="W143" s="472"/>
      <c r="X143" s="472"/>
      <c r="Y143" s="472"/>
      <c r="Z143" s="472"/>
      <c r="AA143" s="472"/>
      <c r="AB143" s="472"/>
      <c r="AC143" s="472"/>
      <c r="AD143" s="472"/>
      <c r="AE143" s="472"/>
      <c r="AF143" s="472"/>
      <c r="AG143" s="472"/>
      <c r="AH143" s="472"/>
    </row>
    <row r="144" spans="2:34" s="171" customFormat="1" ht="24" customHeight="1">
      <c r="B144" s="472" t="s">
        <v>279</v>
      </c>
      <c r="C144" s="472"/>
      <c r="D144" s="472"/>
      <c r="E144" s="472"/>
      <c r="F144" s="472"/>
      <c r="G144" s="472"/>
      <c r="H144" s="472"/>
      <c r="I144" s="472"/>
      <c r="J144" s="472"/>
      <c r="K144" s="472"/>
      <c r="L144" s="472"/>
      <c r="M144" s="472"/>
      <c r="N144" s="472"/>
      <c r="O144" s="472"/>
      <c r="P144" s="472"/>
      <c r="Q144" s="472"/>
      <c r="R144" s="472"/>
      <c r="S144" s="472"/>
      <c r="T144" s="472"/>
      <c r="U144" s="472"/>
      <c r="V144" s="472"/>
      <c r="W144" s="472"/>
      <c r="X144" s="472"/>
      <c r="Y144" s="472"/>
      <c r="Z144" s="472"/>
      <c r="AA144" s="472"/>
      <c r="AB144" s="472"/>
      <c r="AC144" s="472"/>
      <c r="AD144" s="472"/>
      <c r="AE144" s="472"/>
      <c r="AF144" s="472"/>
      <c r="AG144" s="472"/>
      <c r="AH144" s="472"/>
    </row>
    <row r="145" spans="2:34" s="171" customFormat="1" ht="25.5" customHeight="1">
      <c r="B145" s="472" t="s">
        <v>280</v>
      </c>
      <c r="C145" s="472"/>
      <c r="D145" s="472"/>
      <c r="E145" s="472"/>
      <c r="F145" s="472"/>
      <c r="G145" s="472"/>
      <c r="H145" s="472"/>
      <c r="I145" s="472"/>
      <c r="J145" s="472"/>
      <c r="K145" s="472"/>
      <c r="L145" s="472"/>
      <c r="M145" s="472"/>
      <c r="N145" s="472"/>
      <c r="O145" s="472"/>
      <c r="P145" s="472"/>
      <c r="Q145" s="472"/>
      <c r="R145" s="472"/>
      <c r="S145" s="472"/>
      <c r="T145" s="472"/>
      <c r="U145" s="472"/>
      <c r="V145" s="472"/>
      <c r="W145" s="472"/>
      <c r="X145" s="472"/>
      <c r="Y145" s="472"/>
      <c r="Z145" s="472"/>
      <c r="AA145" s="472"/>
      <c r="AB145" s="472"/>
      <c r="AC145" s="472"/>
      <c r="AD145" s="472"/>
      <c r="AE145" s="472"/>
      <c r="AF145" s="472"/>
      <c r="AG145" s="472"/>
      <c r="AH145" s="472"/>
    </row>
    <row r="146" spans="1:34" s="174" customFormat="1" ht="12.75" customHeight="1">
      <c r="A146" s="172"/>
      <c r="B146" s="472" t="s">
        <v>281</v>
      </c>
      <c r="C146" s="472"/>
      <c r="D146" s="472"/>
      <c r="E146" s="472"/>
      <c r="F146" s="472"/>
      <c r="G146" s="472"/>
      <c r="H146" s="472"/>
      <c r="I146" s="472"/>
      <c r="J146" s="472"/>
      <c r="K146" s="472"/>
      <c r="L146" s="472"/>
      <c r="M146" s="472"/>
      <c r="N146" s="472"/>
      <c r="O146" s="472"/>
      <c r="P146" s="472"/>
      <c r="Q146" s="472"/>
      <c r="R146" s="472"/>
      <c r="S146" s="472"/>
      <c r="T146" s="472"/>
      <c r="U146" s="472"/>
      <c r="V146" s="472"/>
      <c r="W146" s="472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</row>
    <row r="147" spans="1:34" s="174" customFormat="1" ht="12.75">
      <c r="A147" s="172"/>
      <c r="B147" s="175"/>
      <c r="C147" s="175"/>
      <c r="D147" s="175"/>
      <c r="E147" s="175"/>
      <c r="F147" s="175"/>
      <c r="G147" s="175"/>
      <c r="H147" s="175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</row>
    <row r="148" spans="2:34" s="176" customFormat="1" ht="12.75">
      <c r="B148" s="177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</row>
    <row r="149" spans="2:34" s="176" customFormat="1" ht="26.25">
      <c r="B149" s="179" t="s">
        <v>282</v>
      </c>
      <c r="C149" s="180"/>
      <c r="D149" s="180"/>
      <c r="E149" s="180"/>
      <c r="F149" s="178"/>
      <c r="G149" s="178"/>
      <c r="H149" s="178"/>
      <c r="I149" s="178"/>
      <c r="J149" s="178"/>
      <c r="K149" s="181" t="s">
        <v>283</v>
      </c>
      <c r="L149" s="178"/>
      <c r="M149" s="178"/>
      <c r="N149" s="178"/>
      <c r="O149" s="178"/>
      <c r="P149" s="473" t="s">
        <v>284</v>
      </c>
      <c r="Q149" s="473"/>
      <c r="R149" s="473"/>
      <c r="S149" s="473"/>
      <c r="T149" s="473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</row>
    <row r="150" spans="1:34" s="132" customFormat="1" ht="63" customHeight="1" hidden="1">
      <c r="A150" s="176"/>
      <c r="B150" s="466" t="s">
        <v>285</v>
      </c>
      <c r="C150" s="466"/>
      <c r="D150" s="466"/>
      <c r="E150" s="466"/>
      <c r="F150" s="466"/>
      <c r="G150" s="466"/>
      <c r="H150" s="466"/>
      <c r="I150" s="466"/>
      <c r="J150" s="466"/>
      <c r="K150" s="182"/>
      <c r="L150" s="182"/>
      <c r="M150" s="182"/>
      <c r="N150" s="182"/>
      <c r="O150" s="182"/>
      <c r="P150" s="182"/>
      <c r="Q150" s="182"/>
      <c r="R150" s="182"/>
      <c r="S150" s="182"/>
      <c r="T150" s="467" t="s">
        <v>286</v>
      </c>
      <c r="U150" s="467"/>
      <c r="V150" s="467"/>
      <c r="W150" s="467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</row>
    <row r="151" spans="1:34" s="132" customFormat="1" ht="62.25" customHeight="1" hidden="1">
      <c r="A151" s="176"/>
      <c r="B151" s="183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</row>
    <row r="152" spans="1:34" s="176" customFormat="1" ht="60.75" customHeight="1" hidden="1">
      <c r="A152" s="132"/>
      <c r="B152" s="468" t="s">
        <v>287</v>
      </c>
      <c r="C152" s="468"/>
      <c r="D152" s="468"/>
      <c r="E152" s="468"/>
      <c r="F152" s="468"/>
      <c r="G152" s="468"/>
      <c r="H152" s="468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467" t="s">
        <v>288</v>
      </c>
      <c r="U152" s="467"/>
      <c r="V152" s="467"/>
      <c r="W152" s="467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</row>
    <row r="153" spans="1:34" s="176" customFormat="1" ht="12.75">
      <c r="A153" s="132"/>
      <c r="B153" s="186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</row>
    <row r="154" spans="1:34" s="188" customFormat="1" ht="12.75" hidden="1">
      <c r="A154" s="176"/>
      <c r="B154" s="469" t="s">
        <v>289</v>
      </c>
      <c r="C154" s="469"/>
      <c r="D154" s="469"/>
      <c r="E154" s="469"/>
      <c r="F154" s="469"/>
      <c r="G154" s="469"/>
      <c r="H154" s="469"/>
      <c r="I154" s="469"/>
      <c r="J154" s="469"/>
      <c r="K154" s="469"/>
      <c r="L154" s="469"/>
      <c r="M154" s="469"/>
      <c r="N154" s="469"/>
      <c r="O154" s="469"/>
      <c r="P154" s="469"/>
      <c r="Q154" s="469"/>
      <c r="R154" s="469"/>
      <c r="S154" s="469"/>
      <c r="T154" s="469"/>
      <c r="U154" s="469"/>
      <c r="V154" s="469"/>
      <c r="W154" s="469"/>
      <c r="X154" s="469"/>
      <c r="Y154" s="469"/>
      <c r="Z154" s="469"/>
      <c r="AA154" s="469"/>
      <c r="AB154" s="469"/>
      <c r="AC154" s="469"/>
      <c r="AD154" s="469"/>
      <c r="AE154" s="469"/>
      <c r="AF154" s="469"/>
      <c r="AG154" s="469"/>
      <c r="AH154" s="469"/>
    </row>
    <row r="155" spans="1:34" s="188" customFormat="1" ht="12.75" hidden="1">
      <c r="A155" s="176"/>
      <c r="B155" s="371" t="s">
        <v>290</v>
      </c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</row>
    <row r="156" ht="15" hidden="1"/>
    <row r="157" spans="2:34" s="189" customFormat="1" ht="11.25" hidden="1">
      <c r="B157" s="190"/>
      <c r="C157" s="191" t="s">
        <v>291</v>
      </c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</row>
    <row r="158" spans="2:34" s="189" customFormat="1" ht="11.25" hidden="1">
      <c r="B158" s="193"/>
      <c r="C158" s="191" t="s">
        <v>291</v>
      </c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</row>
    <row r="159" spans="2:34" s="189" customFormat="1" ht="11.25" hidden="1">
      <c r="B159" s="194"/>
      <c r="C159" s="191" t="s">
        <v>292</v>
      </c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</row>
    <row r="160" spans="2:6" ht="11.25" customHeight="1">
      <c r="B160" s="195"/>
      <c r="C160" s="470"/>
      <c r="D160" s="470"/>
      <c r="E160" s="470"/>
      <c r="F160" s="470"/>
    </row>
    <row r="161" spans="2:21" ht="23.25">
      <c r="B161" s="196" t="s">
        <v>293</v>
      </c>
      <c r="K161" s="197" t="s">
        <v>283</v>
      </c>
      <c r="P161" s="465" t="s">
        <v>286</v>
      </c>
      <c r="Q161" s="465"/>
      <c r="R161" s="465"/>
      <c r="S161" s="465"/>
      <c r="T161" s="465"/>
      <c r="U161" s="198"/>
    </row>
  </sheetData>
  <sheetProtection/>
  <mergeCells count="45">
    <mergeCell ref="AD1:AH1"/>
    <mergeCell ref="AE2:AH2"/>
    <mergeCell ref="A3:AH3"/>
    <mergeCell ref="C4:AG4"/>
    <mergeCell ref="A6:A8"/>
    <mergeCell ref="B6:B8"/>
    <mergeCell ref="C6:R6"/>
    <mergeCell ref="S6:AH6"/>
    <mergeCell ref="C7:J7"/>
    <mergeCell ref="K7:R7"/>
    <mergeCell ref="S7:Z7"/>
    <mergeCell ref="AA7:AH7"/>
    <mergeCell ref="C8:F8"/>
    <mergeCell ref="G8:J8"/>
    <mergeCell ref="K8:N8"/>
    <mergeCell ref="O8:R8"/>
    <mergeCell ref="S8:V8"/>
    <mergeCell ref="W8:Z8"/>
    <mergeCell ref="AA8:AD8"/>
    <mergeCell ref="AE8:AH8"/>
    <mergeCell ref="A10:B10"/>
    <mergeCell ref="A20:AH20"/>
    <mergeCell ref="A32:AH32"/>
    <mergeCell ref="A42:AH42"/>
    <mergeCell ref="A52:AH52"/>
    <mergeCell ref="A62:AH62"/>
    <mergeCell ref="A72:AH72"/>
    <mergeCell ref="A82:AH82"/>
    <mergeCell ref="A92:AH92"/>
    <mergeCell ref="A102:AH102"/>
    <mergeCell ref="A112:AH112"/>
    <mergeCell ref="A122:AH122"/>
    <mergeCell ref="A132:AH132"/>
    <mergeCell ref="B143:AH143"/>
    <mergeCell ref="B144:AH144"/>
    <mergeCell ref="B145:AH145"/>
    <mergeCell ref="B146:W146"/>
    <mergeCell ref="P149:T149"/>
    <mergeCell ref="P161:T161"/>
    <mergeCell ref="B150:J150"/>
    <mergeCell ref="T150:W150"/>
    <mergeCell ref="B152:H152"/>
    <mergeCell ref="T152:W152"/>
    <mergeCell ref="B154:AH154"/>
    <mergeCell ref="C160:F16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8"/>
  <sheetViews>
    <sheetView view="pageBreakPreview" zoomScale="80" zoomScaleSheetLayoutView="80" zoomScalePageLayoutView="0" workbookViewId="0" topLeftCell="A1">
      <selection activeCell="B4" sqref="B4:K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425" t="s">
        <v>215</v>
      </c>
      <c r="G1" s="425"/>
      <c r="H1" s="425"/>
      <c r="I1" s="425"/>
      <c r="J1" s="425"/>
      <c r="K1" s="425"/>
      <c r="L1" s="61"/>
    </row>
    <row r="2" spans="6:12" ht="54" customHeight="1">
      <c r="F2" s="61"/>
      <c r="G2" s="61"/>
      <c r="H2" s="61"/>
      <c r="I2" s="425" t="s">
        <v>96</v>
      </c>
      <c r="J2" s="425"/>
      <c r="K2" s="425"/>
      <c r="L2" s="61"/>
    </row>
    <row r="3" spans="2:11" ht="12.75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ht="77.25" customHeight="1">
      <c r="B4" s="464" t="s">
        <v>200</v>
      </c>
      <c r="C4" s="464"/>
      <c r="D4" s="464"/>
      <c r="E4" s="464"/>
      <c r="F4" s="464"/>
      <c r="G4" s="464"/>
      <c r="H4" s="464"/>
      <c r="I4" s="464"/>
      <c r="J4" s="464"/>
      <c r="K4" s="464"/>
    </row>
    <row r="5" spans="2:11" ht="15.75"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34.5" customHeight="1">
      <c r="A6" s="484" t="s">
        <v>144</v>
      </c>
      <c r="B6" s="484"/>
      <c r="C6" s="484" t="s">
        <v>145</v>
      </c>
      <c r="D6" s="484"/>
      <c r="E6" s="484"/>
      <c r="F6" s="484" t="s">
        <v>146</v>
      </c>
      <c r="G6" s="484"/>
      <c r="H6" s="484"/>
      <c r="I6" s="485" t="s">
        <v>147</v>
      </c>
      <c r="J6" s="486"/>
      <c r="K6" s="487"/>
    </row>
    <row r="7" spans="1:11" ht="46.5" customHeight="1">
      <c r="A7" s="484"/>
      <c r="B7" s="484"/>
      <c r="C7" s="31" t="s">
        <v>37</v>
      </c>
      <c r="D7" s="31" t="s">
        <v>148</v>
      </c>
      <c r="E7" s="31" t="s">
        <v>149</v>
      </c>
      <c r="F7" s="31" t="s">
        <v>37</v>
      </c>
      <c r="G7" s="31" t="s">
        <v>148</v>
      </c>
      <c r="H7" s="31" t="s">
        <v>149</v>
      </c>
      <c r="I7" s="31" t="s">
        <v>37</v>
      </c>
      <c r="J7" s="31" t="s">
        <v>148</v>
      </c>
      <c r="K7" s="31" t="s">
        <v>149</v>
      </c>
    </row>
    <row r="8" spans="1:11" ht="48.75" customHeight="1">
      <c r="A8" s="70" t="s">
        <v>89</v>
      </c>
      <c r="B8" s="66" t="s">
        <v>150</v>
      </c>
      <c r="C8" s="335">
        <v>3543</v>
      </c>
      <c r="D8" s="335">
        <v>49</v>
      </c>
      <c r="E8" s="335">
        <v>0</v>
      </c>
      <c r="F8" s="328">
        <v>30592.03</v>
      </c>
      <c r="G8" s="328">
        <v>645</v>
      </c>
      <c r="H8" s="328">
        <v>0</v>
      </c>
      <c r="I8" s="329">
        <v>3969.61026</v>
      </c>
      <c r="J8" s="330">
        <v>74.5557</v>
      </c>
      <c r="K8" s="331">
        <v>0</v>
      </c>
    </row>
    <row r="9" spans="1:11" ht="15.75">
      <c r="A9" s="71"/>
      <c r="B9" s="73" t="s">
        <v>151</v>
      </c>
      <c r="C9" s="488">
        <v>3054</v>
      </c>
      <c r="D9" s="488">
        <v>37</v>
      </c>
      <c r="E9" s="488">
        <v>0</v>
      </c>
      <c r="F9" s="490">
        <v>27470.1</v>
      </c>
      <c r="G9" s="490">
        <v>494</v>
      </c>
      <c r="H9" s="490">
        <v>0</v>
      </c>
      <c r="I9" s="490">
        <v>2853.95375</v>
      </c>
      <c r="J9" s="490">
        <v>17.2457</v>
      </c>
      <c r="K9" s="490">
        <v>0</v>
      </c>
    </row>
    <row r="10" spans="1:11" ht="24" customHeight="1">
      <c r="A10" s="72"/>
      <c r="B10" s="74" t="s">
        <v>154</v>
      </c>
      <c r="C10" s="489"/>
      <c r="D10" s="489"/>
      <c r="E10" s="489"/>
      <c r="F10" s="491"/>
      <c r="G10" s="491"/>
      <c r="H10" s="491"/>
      <c r="I10" s="491"/>
      <c r="J10" s="491"/>
      <c r="K10" s="491"/>
    </row>
    <row r="11" spans="1:11" ht="24" customHeight="1">
      <c r="A11" s="70" t="s">
        <v>30</v>
      </c>
      <c r="B11" s="66" t="s">
        <v>155</v>
      </c>
      <c r="C11" s="337">
        <v>54</v>
      </c>
      <c r="D11" s="337">
        <v>71</v>
      </c>
      <c r="E11" s="337">
        <v>0</v>
      </c>
      <c r="F11" s="330">
        <v>2642</v>
      </c>
      <c r="G11" s="330">
        <v>5158.8</v>
      </c>
      <c r="H11" s="330">
        <v>0</v>
      </c>
      <c r="I11" s="330">
        <v>3503.25717</v>
      </c>
      <c r="J11" s="333">
        <v>10378.25514</v>
      </c>
      <c r="K11" s="332">
        <v>0</v>
      </c>
    </row>
    <row r="12" spans="1:11" ht="15.75">
      <c r="A12" s="71"/>
      <c r="B12" s="73" t="s">
        <v>151</v>
      </c>
      <c r="C12" s="488">
        <v>0</v>
      </c>
      <c r="D12" s="488">
        <v>0</v>
      </c>
      <c r="E12" s="488">
        <v>0</v>
      </c>
      <c r="F12" s="490">
        <v>0</v>
      </c>
      <c r="G12" s="490">
        <v>0</v>
      </c>
      <c r="H12" s="490">
        <v>0</v>
      </c>
      <c r="I12" s="490">
        <v>0</v>
      </c>
      <c r="J12" s="490">
        <v>0</v>
      </c>
      <c r="K12" s="490">
        <v>0</v>
      </c>
    </row>
    <row r="13" spans="1:11" ht="24" customHeight="1">
      <c r="A13" s="72"/>
      <c r="B13" s="74" t="s">
        <v>156</v>
      </c>
      <c r="C13" s="489"/>
      <c r="D13" s="489"/>
      <c r="E13" s="489"/>
      <c r="F13" s="491"/>
      <c r="G13" s="491"/>
      <c r="H13" s="491"/>
      <c r="I13" s="491"/>
      <c r="J13" s="491"/>
      <c r="K13" s="491"/>
    </row>
    <row r="14" spans="1:11" ht="24" customHeight="1">
      <c r="A14" s="70" t="s">
        <v>90</v>
      </c>
      <c r="B14" s="66" t="s">
        <v>157</v>
      </c>
      <c r="C14" s="335">
        <v>3</v>
      </c>
      <c r="D14" s="335">
        <v>10</v>
      </c>
      <c r="E14" s="335">
        <v>0</v>
      </c>
      <c r="F14" s="328">
        <v>1373</v>
      </c>
      <c r="G14" s="328">
        <v>2852</v>
      </c>
      <c r="H14" s="328">
        <v>0</v>
      </c>
      <c r="I14" s="330">
        <v>20625.84697</v>
      </c>
      <c r="J14" s="333">
        <v>1413.14095</v>
      </c>
      <c r="K14" s="333">
        <v>0</v>
      </c>
    </row>
    <row r="15" spans="1:11" ht="15.75">
      <c r="A15" s="71"/>
      <c r="B15" s="73" t="s">
        <v>151</v>
      </c>
      <c r="C15" s="488">
        <v>0</v>
      </c>
      <c r="D15" s="488">
        <v>0</v>
      </c>
      <c r="E15" s="488">
        <v>0</v>
      </c>
      <c r="F15" s="490">
        <v>0</v>
      </c>
      <c r="G15" s="490">
        <v>0</v>
      </c>
      <c r="H15" s="490">
        <v>0</v>
      </c>
      <c r="I15" s="490">
        <v>0</v>
      </c>
      <c r="J15" s="490">
        <v>0</v>
      </c>
      <c r="K15" s="490">
        <v>0</v>
      </c>
    </row>
    <row r="16" spans="1:11" ht="24" customHeight="1">
      <c r="A16" s="72"/>
      <c r="B16" s="74" t="s">
        <v>158</v>
      </c>
      <c r="C16" s="489"/>
      <c r="D16" s="489"/>
      <c r="E16" s="489"/>
      <c r="F16" s="491"/>
      <c r="G16" s="491"/>
      <c r="H16" s="491"/>
      <c r="I16" s="491"/>
      <c r="J16" s="491"/>
      <c r="K16" s="491"/>
    </row>
    <row r="17" spans="1:11" ht="15.75">
      <c r="A17" s="70" t="s">
        <v>91</v>
      </c>
      <c r="B17" s="66" t="s">
        <v>159</v>
      </c>
      <c r="C17" s="336">
        <v>0</v>
      </c>
      <c r="D17" s="336">
        <v>6</v>
      </c>
      <c r="E17" s="336">
        <v>0</v>
      </c>
      <c r="F17" s="332">
        <v>0</v>
      </c>
      <c r="G17" s="332">
        <v>9475</v>
      </c>
      <c r="H17" s="332">
        <v>0</v>
      </c>
      <c r="I17" s="334">
        <v>0</v>
      </c>
      <c r="J17" s="330">
        <v>23010.66819</v>
      </c>
      <c r="K17" s="333">
        <v>0</v>
      </c>
    </row>
    <row r="18" spans="1:11" ht="15.75">
      <c r="A18" s="71"/>
      <c r="B18" s="73" t="s">
        <v>151</v>
      </c>
      <c r="C18" s="488">
        <v>0</v>
      </c>
      <c r="D18" s="488">
        <v>0</v>
      </c>
      <c r="E18" s="488">
        <v>0</v>
      </c>
      <c r="F18" s="490">
        <v>0</v>
      </c>
      <c r="G18" s="490">
        <v>0</v>
      </c>
      <c r="H18" s="490">
        <v>0</v>
      </c>
      <c r="I18" s="490">
        <v>0</v>
      </c>
      <c r="J18" s="490">
        <v>0</v>
      </c>
      <c r="K18" s="490">
        <v>0</v>
      </c>
    </row>
    <row r="19" spans="1:11" ht="24" customHeight="1">
      <c r="A19" s="72"/>
      <c r="B19" s="74" t="s">
        <v>158</v>
      </c>
      <c r="C19" s="489"/>
      <c r="D19" s="489"/>
      <c r="E19" s="489"/>
      <c r="F19" s="491"/>
      <c r="G19" s="491"/>
      <c r="H19" s="491"/>
      <c r="I19" s="491"/>
      <c r="J19" s="491"/>
      <c r="K19" s="491"/>
    </row>
    <row r="20" spans="1:11" ht="15.75">
      <c r="A20" s="70" t="s">
        <v>92</v>
      </c>
      <c r="B20" s="66" t="s">
        <v>160</v>
      </c>
      <c r="C20" s="337">
        <v>0</v>
      </c>
      <c r="D20" s="337">
        <v>0</v>
      </c>
      <c r="E20" s="337">
        <v>0</v>
      </c>
      <c r="F20" s="330">
        <v>0</v>
      </c>
      <c r="G20" s="334">
        <v>0</v>
      </c>
      <c r="H20" s="330">
        <v>0</v>
      </c>
      <c r="I20" s="334">
        <v>0</v>
      </c>
      <c r="J20" s="330">
        <v>0</v>
      </c>
      <c r="K20" s="333">
        <v>0</v>
      </c>
    </row>
    <row r="21" spans="1:11" ht="15.75">
      <c r="A21" s="71"/>
      <c r="B21" s="73" t="s">
        <v>151</v>
      </c>
      <c r="C21" s="488">
        <v>0</v>
      </c>
      <c r="D21" s="488">
        <v>0</v>
      </c>
      <c r="E21" s="488">
        <v>0</v>
      </c>
      <c r="F21" s="490">
        <v>0</v>
      </c>
      <c r="G21" s="490">
        <v>0</v>
      </c>
      <c r="H21" s="490">
        <v>0</v>
      </c>
      <c r="I21" s="490">
        <v>0</v>
      </c>
      <c r="J21" s="490">
        <v>0</v>
      </c>
      <c r="K21" s="490">
        <v>0</v>
      </c>
    </row>
    <row r="22" spans="1:11" ht="24" customHeight="1">
      <c r="A22" s="72"/>
      <c r="B22" s="74" t="s">
        <v>158</v>
      </c>
      <c r="C22" s="489"/>
      <c r="D22" s="489"/>
      <c r="E22" s="489"/>
      <c r="F22" s="491"/>
      <c r="G22" s="491"/>
      <c r="H22" s="491"/>
      <c r="I22" s="491"/>
      <c r="J22" s="491"/>
      <c r="K22" s="491"/>
    </row>
    <row r="23" spans="1:11" ht="15.75">
      <c r="A23" s="27" t="s">
        <v>93</v>
      </c>
      <c r="B23" s="66" t="s">
        <v>161</v>
      </c>
      <c r="C23" s="337">
        <v>0</v>
      </c>
      <c r="D23" s="337">
        <v>0</v>
      </c>
      <c r="E23" s="337">
        <v>0</v>
      </c>
      <c r="F23" s="330">
        <v>0</v>
      </c>
      <c r="G23" s="334">
        <v>0</v>
      </c>
      <c r="H23" s="330">
        <v>0</v>
      </c>
      <c r="I23" s="334">
        <v>0</v>
      </c>
      <c r="J23" s="330">
        <v>0</v>
      </c>
      <c r="K23" s="333">
        <v>0</v>
      </c>
    </row>
    <row r="26" spans="1:11" ht="15.75">
      <c r="A26" s="68" t="s">
        <v>162</v>
      </c>
      <c r="B26" s="377" t="s">
        <v>164</v>
      </c>
      <c r="C26" s="377"/>
      <c r="D26" s="377"/>
      <c r="E26" s="377"/>
      <c r="F26" s="377"/>
      <c r="G26" s="377"/>
      <c r="H26" s="377"/>
      <c r="I26" s="377"/>
      <c r="J26" s="377"/>
      <c r="K26" s="377"/>
    </row>
    <row r="27" spans="1:11" ht="98.25" customHeight="1">
      <c r="A27" s="69" t="s">
        <v>163</v>
      </c>
      <c r="B27" s="483" t="s">
        <v>165</v>
      </c>
      <c r="C27" s="483"/>
      <c r="D27" s="483"/>
      <c r="E27" s="483"/>
      <c r="F27" s="483"/>
      <c r="G27" s="483"/>
      <c r="H27" s="483"/>
      <c r="I27" s="483"/>
      <c r="J27" s="483"/>
      <c r="K27" s="483"/>
    </row>
    <row r="28" spans="1:11" ht="15.75">
      <c r="A28" s="69" t="s">
        <v>198</v>
      </c>
      <c r="B28" s="483" t="s">
        <v>216</v>
      </c>
      <c r="C28" s="483"/>
      <c r="D28" s="483"/>
      <c r="E28" s="483"/>
      <c r="F28" s="483"/>
      <c r="G28" s="483"/>
      <c r="H28" s="483"/>
      <c r="I28" s="483"/>
      <c r="J28" s="483"/>
      <c r="K28" s="483"/>
    </row>
  </sheetData>
  <sheetProtection/>
  <mergeCells count="55">
    <mergeCell ref="I21:I22"/>
    <mergeCell ref="J21:J22"/>
    <mergeCell ref="K21:K22"/>
    <mergeCell ref="C21:C22"/>
    <mergeCell ref="D21:D22"/>
    <mergeCell ref="E21:E22"/>
    <mergeCell ref="F21:F22"/>
    <mergeCell ref="G21:G22"/>
    <mergeCell ref="H21:H22"/>
    <mergeCell ref="K15:K16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J12:J13"/>
    <mergeCell ref="K12:K13"/>
    <mergeCell ref="C15:C16"/>
    <mergeCell ref="D15:D16"/>
    <mergeCell ref="E15:E16"/>
    <mergeCell ref="F15:F16"/>
    <mergeCell ref="G15:G16"/>
    <mergeCell ref="H15:H16"/>
    <mergeCell ref="I15:I16"/>
    <mergeCell ref="J15:J16"/>
    <mergeCell ref="I9:I10"/>
    <mergeCell ref="J9:J10"/>
    <mergeCell ref="K9:K10"/>
    <mergeCell ref="C12:C13"/>
    <mergeCell ref="D12:D13"/>
    <mergeCell ref="E12:E13"/>
    <mergeCell ref="F12:F13"/>
    <mergeCell ref="G12:G13"/>
    <mergeCell ref="H12:H13"/>
    <mergeCell ref="I12:I13"/>
    <mergeCell ref="C9:C10"/>
    <mergeCell ref="D9:D10"/>
    <mergeCell ref="E9:E10"/>
    <mergeCell ref="F9:F10"/>
    <mergeCell ref="G9:G10"/>
    <mergeCell ref="H9:H10"/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view="pageBreakPreview" zoomScale="80" zoomScaleSheetLayoutView="80" zoomScalePageLayoutView="0" workbookViewId="0" topLeftCell="A1">
      <selection activeCell="N14" sqref="N1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425" t="s">
        <v>217</v>
      </c>
      <c r="G1" s="425"/>
      <c r="H1" s="425"/>
      <c r="I1" s="61"/>
    </row>
    <row r="2" spans="6:9" ht="55.5" customHeight="1">
      <c r="F2" s="61"/>
      <c r="G2" s="425" t="s">
        <v>96</v>
      </c>
      <c r="H2" s="425"/>
      <c r="I2" s="61"/>
    </row>
    <row r="3" spans="2:8" ht="12.75">
      <c r="B3" s="18"/>
      <c r="C3" s="18"/>
      <c r="D3" s="18"/>
      <c r="E3" s="18"/>
      <c r="F3" s="18"/>
      <c r="G3" s="18"/>
      <c r="H3" s="18"/>
    </row>
    <row r="4" spans="2:8" ht="77.25" customHeight="1">
      <c r="B4" s="464" t="s">
        <v>199</v>
      </c>
      <c r="C4" s="464"/>
      <c r="D4" s="464"/>
      <c r="E4" s="464"/>
      <c r="F4" s="464"/>
      <c r="G4" s="464"/>
      <c r="H4" s="464"/>
    </row>
    <row r="5" spans="2:8" ht="15.75">
      <c r="B5" s="67"/>
      <c r="C5" s="67"/>
      <c r="D5" s="67"/>
      <c r="E5" s="67"/>
      <c r="F5" s="67"/>
      <c r="G5" s="67"/>
      <c r="H5" s="67"/>
    </row>
    <row r="6" spans="1:8" ht="34.5" customHeight="1">
      <c r="A6" s="484" t="s">
        <v>144</v>
      </c>
      <c r="B6" s="484"/>
      <c r="C6" s="484" t="s">
        <v>166</v>
      </c>
      <c r="D6" s="484"/>
      <c r="E6" s="484"/>
      <c r="F6" s="484" t="s">
        <v>146</v>
      </c>
      <c r="G6" s="484"/>
      <c r="H6" s="484"/>
    </row>
    <row r="7" spans="1:8" ht="46.5" customHeight="1">
      <c r="A7" s="484"/>
      <c r="B7" s="484"/>
      <c r="C7" s="31" t="s">
        <v>37</v>
      </c>
      <c r="D7" s="31" t="s">
        <v>148</v>
      </c>
      <c r="E7" s="31" t="s">
        <v>149</v>
      </c>
      <c r="F7" s="31" t="s">
        <v>37</v>
      </c>
      <c r="G7" s="31" t="s">
        <v>148</v>
      </c>
      <c r="H7" s="31" t="s">
        <v>149</v>
      </c>
    </row>
    <row r="8" spans="1:8" ht="48.75" customHeight="1">
      <c r="A8" s="70" t="s">
        <v>89</v>
      </c>
      <c r="B8" s="66" t="s">
        <v>150</v>
      </c>
      <c r="C8" s="367">
        <v>4513</v>
      </c>
      <c r="D8" s="367">
        <v>72</v>
      </c>
      <c r="E8" s="367">
        <v>0</v>
      </c>
      <c r="F8" s="369">
        <v>39164.53</v>
      </c>
      <c r="G8" s="369">
        <v>946.65</v>
      </c>
      <c r="H8" s="369">
        <v>0</v>
      </c>
    </row>
    <row r="9" spans="1:8" ht="15.75">
      <c r="A9" s="71"/>
      <c r="B9" s="73" t="s">
        <v>151</v>
      </c>
      <c r="C9" s="492">
        <v>3871</v>
      </c>
      <c r="D9" s="492">
        <v>49</v>
      </c>
      <c r="E9" s="492">
        <v>0</v>
      </c>
      <c r="F9" s="494">
        <v>34901.7</v>
      </c>
      <c r="G9" s="494">
        <v>657</v>
      </c>
      <c r="H9" s="494">
        <v>0</v>
      </c>
    </row>
    <row r="10" spans="1:8" ht="24" customHeight="1">
      <c r="A10" s="72"/>
      <c r="B10" s="74" t="s">
        <v>154</v>
      </c>
      <c r="C10" s="493"/>
      <c r="D10" s="493"/>
      <c r="E10" s="493"/>
      <c r="F10" s="495"/>
      <c r="G10" s="495"/>
      <c r="H10" s="495"/>
    </row>
    <row r="11" spans="1:8" ht="24" customHeight="1">
      <c r="A11" s="70" t="s">
        <v>30</v>
      </c>
      <c r="B11" s="66" t="s">
        <v>155</v>
      </c>
      <c r="C11" s="341">
        <v>206</v>
      </c>
      <c r="D11" s="341">
        <v>154</v>
      </c>
      <c r="E11" s="341">
        <v>0</v>
      </c>
      <c r="F11" s="338">
        <v>12003.12</v>
      </c>
      <c r="G11" s="338">
        <v>11734.72</v>
      </c>
      <c r="H11" s="338">
        <v>0</v>
      </c>
    </row>
    <row r="12" spans="1:8" ht="15.75">
      <c r="A12" s="71"/>
      <c r="B12" s="73" t="s">
        <v>151</v>
      </c>
      <c r="C12" s="492">
        <v>0</v>
      </c>
      <c r="D12" s="492">
        <v>0</v>
      </c>
      <c r="E12" s="492">
        <v>0</v>
      </c>
      <c r="F12" s="494">
        <v>0</v>
      </c>
      <c r="G12" s="494">
        <v>0</v>
      </c>
      <c r="H12" s="494">
        <v>0</v>
      </c>
    </row>
    <row r="13" spans="1:8" ht="24" customHeight="1">
      <c r="A13" s="72"/>
      <c r="B13" s="74" t="s">
        <v>156</v>
      </c>
      <c r="C13" s="493"/>
      <c r="D13" s="493"/>
      <c r="E13" s="493"/>
      <c r="F13" s="495"/>
      <c r="G13" s="495"/>
      <c r="H13" s="495"/>
    </row>
    <row r="14" spans="1:8" ht="24" customHeight="1">
      <c r="A14" s="70" t="s">
        <v>90</v>
      </c>
      <c r="B14" s="66" t="s">
        <v>157</v>
      </c>
      <c r="C14" s="368">
        <v>32</v>
      </c>
      <c r="D14" s="368">
        <v>51</v>
      </c>
      <c r="E14" s="368">
        <v>0</v>
      </c>
      <c r="F14" s="370">
        <v>10533</v>
      </c>
      <c r="G14" s="370">
        <v>16053</v>
      </c>
      <c r="H14" s="370">
        <v>0</v>
      </c>
    </row>
    <row r="15" spans="1:8" ht="15.75">
      <c r="A15" s="71"/>
      <c r="B15" s="73" t="s">
        <v>151</v>
      </c>
      <c r="C15" s="492">
        <v>0</v>
      </c>
      <c r="D15" s="492">
        <v>0</v>
      </c>
      <c r="E15" s="492">
        <v>0</v>
      </c>
      <c r="F15" s="494">
        <v>0</v>
      </c>
      <c r="G15" s="494">
        <v>0</v>
      </c>
      <c r="H15" s="494">
        <v>0</v>
      </c>
    </row>
    <row r="16" spans="1:8" ht="24" customHeight="1">
      <c r="A16" s="72"/>
      <c r="B16" s="74" t="s">
        <v>158</v>
      </c>
      <c r="C16" s="493"/>
      <c r="D16" s="493"/>
      <c r="E16" s="493"/>
      <c r="F16" s="495"/>
      <c r="G16" s="495"/>
      <c r="H16" s="495"/>
    </row>
    <row r="17" spans="1:8" ht="15.75">
      <c r="A17" s="70" t="s">
        <v>91</v>
      </c>
      <c r="B17" s="66" t="s">
        <v>159</v>
      </c>
      <c r="C17" s="367">
        <v>7</v>
      </c>
      <c r="D17" s="367">
        <v>21</v>
      </c>
      <c r="E17" s="367">
        <v>2</v>
      </c>
      <c r="F17" s="369">
        <v>6889</v>
      </c>
      <c r="G17" s="369">
        <v>27036</v>
      </c>
      <c r="H17" s="369">
        <v>16170.8</v>
      </c>
    </row>
    <row r="18" spans="1:8" ht="15.75">
      <c r="A18" s="71"/>
      <c r="B18" s="73" t="s">
        <v>151</v>
      </c>
      <c r="C18" s="492">
        <v>0</v>
      </c>
      <c r="D18" s="492">
        <v>0</v>
      </c>
      <c r="E18" s="492">
        <v>0</v>
      </c>
      <c r="F18" s="494">
        <v>0</v>
      </c>
      <c r="G18" s="494">
        <v>0</v>
      </c>
      <c r="H18" s="494">
        <v>0</v>
      </c>
    </row>
    <row r="19" spans="1:8" ht="24" customHeight="1">
      <c r="A19" s="72"/>
      <c r="B19" s="74" t="s">
        <v>158</v>
      </c>
      <c r="C19" s="493"/>
      <c r="D19" s="493"/>
      <c r="E19" s="493"/>
      <c r="F19" s="495"/>
      <c r="G19" s="495"/>
      <c r="H19" s="495"/>
    </row>
    <row r="20" spans="1:8" ht="15.75">
      <c r="A20" s="70" t="s">
        <v>92</v>
      </c>
      <c r="B20" s="66" t="s">
        <v>160</v>
      </c>
      <c r="C20" s="368">
        <v>0</v>
      </c>
      <c r="D20" s="368">
        <v>5</v>
      </c>
      <c r="E20" s="368">
        <v>0</v>
      </c>
      <c r="F20" s="370">
        <v>0</v>
      </c>
      <c r="G20" s="370">
        <v>86000</v>
      </c>
      <c r="H20" s="370">
        <v>0</v>
      </c>
    </row>
    <row r="21" spans="1:8" ht="15.75">
      <c r="A21" s="71"/>
      <c r="B21" s="73" t="s">
        <v>151</v>
      </c>
      <c r="C21" s="492">
        <v>0</v>
      </c>
      <c r="D21" s="492">
        <v>0</v>
      </c>
      <c r="E21" s="492">
        <v>0</v>
      </c>
      <c r="F21" s="494">
        <v>0</v>
      </c>
      <c r="G21" s="494">
        <v>0</v>
      </c>
      <c r="H21" s="494">
        <v>0</v>
      </c>
    </row>
    <row r="22" spans="1:8" ht="24" customHeight="1">
      <c r="A22" s="72"/>
      <c r="B22" s="74" t="s">
        <v>158</v>
      </c>
      <c r="C22" s="493"/>
      <c r="D22" s="493"/>
      <c r="E22" s="493"/>
      <c r="F22" s="495"/>
      <c r="G22" s="495"/>
      <c r="H22" s="495"/>
    </row>
    <row r="23" spans="1:8" ht="15.75">
      <c r="A23" s="27" t="s">
        <v>93</v>
      </c>
      <c r="B23" s="66" t="s">
        <v>161</v>
      </c>
      <c r="C23" s="342">
        <v>0</v>
      </c>
      <c r="D23" s="342">
        <v>2</v>
      </c>
      <c r="E23" s="342">
        <v>0</v>
      </c>
      <c r="F23" s="339">
        <v>0</v>
      </c>
      <c r="G23" s="340">
        <v>30000</v>
      </c>
      <c r="H23" s="339">
        <v>0</v>
      </c>
    </row>
    <row r="26" spans="1:8" ht="15.75">
      <c r="A26" s="68" t="s">
        <v>162</v>
      </c>
      <c r="B26" s="377" t="s">
        <v>164</v>
      </c>
      <c r="C26" s="377"/>
      <c r="D26" s="377"/>
      <c r="E26" s="377"/>
      <c r="F26" s="377"/>
      <c r="G26" s="377"/>
      <c r="H26" s="377"/>
    </row>
    <row r="27" spans="1:8" ht="98.25" customHeight="1">
      <c r="A27" s="69" t="s">
        <v>163</v>
      </c>
      <c r="B27" s="483" t="s">
        <v>165</v>
      </c>
      <c r="C27" s="483"/>
      <c r="D27" s="483"/>
      <c r="E27" s="483"/>
      <c r="F27" s="483"/>
      <c r="G27" s="483"/>
      <c r="H27" s="483"/>
    </row>
    <row r="28" spans="1:8" ht="15.75">
      <c r="A28" s="69" t="s">
        <v>198</v>
      </c>
      <c r="B28" s="483" t="s">
        <v>216</v>
      </c>
      <c r="C28" s="483"/>
      <c r="D28" s="483"/>
      <c r="E28" s="483"/>
      <c r="F28" s="483"/>
      <c r="G28" s="483"/>
      <c r="H28" s="483"/>
    </row>
  </sheetData>
  <sheetProtection/>
  <mergeCells count="39">
    <mergeCell ref="C21:C22"/>
    <mergeCell ref="D21:D22"/>
    <mergeCell ref="E21:E22"/>
    <mergeCell ref="F21:F22"/>
    <mergeCell ref="G21:G22"/>
    <mergeCell ref="H21:H22"/>
    <mergeCell ref="C18:C19"/>
    <mergeCell ref="D18:D19"/>
    <mergeCell ref="E18:E19"/>
    <mergeCell ref="F18:F19"/>
    <mergeCell ref="G18:G19"/>
    <mergeCell ref="H18:H19"/>
    <mergeCell ref="H12:H13"/>
    <mergeCell ref="C15:C16"/>
    <mergeCell ref="D15:D16"/>
    <mergeCell ref="E15:E16"/>
    <mergeCell ref="F15:F16"/>
    <mergeCell ref="G15:G16"/>
    <mergeCell ref="H15:H16"/>
    <mergeCell ref="D9:D10"/>
    <mergeCell ref="E9:E10"/>
    <mergeCell ref="F9:F10"/>
    <mergeCell ref="G9:G10"/>
    <mergeCell ref="H9:H10"/>
    <mergeCell ref="C12:C13"/>
    <mergeCell ref="D12:D13"/>
    <mergeCell ref="E12:E13"/>
    <mergeCell ref="F12:F13"/>
    <mergeCell ref="G12:G13"/>
    <mergeCell ref="B28:H28"/>
    <mergeCell ref="B26:H26"/>
    <mergeCell ref="B27:H27"/>
    <mergeCell ref="F1:H1"/>
    <mergeCell ref="G2:H2"/>
    <mergeCell ref="B4:H4"/>
    <mergeCell ref="A6:B7"/>
    <mergeCell ref="C6:E6"/>
    <mergeCell ref="F6:H6"/>
    <mergeCell ref="C9:C10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2016-10-20T11:59:23Z</cp:lastPrinted>
  <dcterms:created xsi:type="dcterms:W3CDTF">2006-07-26T11:25:38Z</dcterms:created>
  <dcterms:modified xsi:type="dcterms:W3CDTF">2016-10-20T13:27:33Z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